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Gerencia_Corporativa\Compartida\Estructuración\Provincia de Tierra del Fuego\Letras\2025\Serie II\Definitivos\"/>
    </mc:Choice>
  </mc:AlternateContent>
  <xr:revisionPtr revIDLastSave="0" documentId="13_ncr:1_{37D13305-C028-44AE-8AFE-F4B65252C99F}" xr6:coauthVersionLast="47" xr6:coauthVersionMax="47" xr10:uidLastSave="{00000000-0000-0000-0000-000000000000}"/>
  <bookViews>
    <workbookView xWindow="-120" yWindow="-120" windowWidth="29040" windowHeight="15720" tabRatio="811" xr2:uid="{6A7FE0D0-465A-494B-A3B2-BFA604C6B194}"/>
  </bookViews>
  <sheets>
    <sheet name="Resumen" sheetId="9" r:id="rId1"/>
    <sheet name="Clase 1" sheetId="4" r:id="rId2"/>
    <sheet name="Clase 2" sheetId="12" r:id="rId3"/>
    <sheet name="Clase 2 (Canje)" sheetId="17" state="hidden" r:id="rId4"/>
    <sheet name="Clase 3" sheetId="14" r:id="rId5"/>
    <sheet name="Clase 3 (Canje)" sheetId="16" state="hidden" r:id="rId6"/>
    <sheet name="Intereses Serie I Clase 1" sheetId="18" r:id="rId7"/>
    <sheet name="Feriados" sheetId="6" state="hidden" r:id="rId8"/>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4" l="1"/>
  <c r="H16" i="14"/>
  <c r="D14" i="17"/>
  <c r="D16" i="17"/>
  <c r="Q24" i="9" l="1"/>
  <c r="D15" i="17"/>
  <c r="D20" i="17"/>
  <c r="D20" i="18"/>
  <c r="D18" i="18"/>
  <c r="D16" i="18"/>
  <c r="D17" i="18" s="1"/>
  <c r="B14" i="18"/>
  <c r="G26" i="17" l="1"/>
  <c r="H27" i="17"/>
  <c r="D26" i="17"/>
  <c r="K25" i="17"/>
  <c r="D17" i="17"/>
  <c r="B12" i="17"/>
  <c r="K25" i="16"/>
  <c r="D14" i="16"/>
  <c r="D15" i="16" s="1"/>
  <c r="H27" i="16"/>
  <c r="D20" i="16"/>
  <c r="D17" i="16"/>
  <c r="B12" i="16"/>
  <c r="D17" i="14"/>
  <c r="D14" i="14"/>
  <c r="D13" i="14"/>
  <c r="H24" i="14"/>
  <c r="D23" i="14"/>
  <c r="G23" i="14" s="1"/>
  <c r="K22" i="14"/>
  <c r="B12" i="14"/>
  <c r="D14" i="12"/>
  <c r="D13" i="12"/>
  <c r="Q18" i="9"/>
  <c r="N18" i="9"/>
  <c r="H24" i="12"/>
  <c r="D26" i="16" l="1"/>
  <c r="D27" i="16" s="1"/>
  <c r="G26" i="16"/>
  <c r="D18" i="17"/>
  <c r="D15" i="12"/>
  <c r="D27" i="17"/>
  <c r="D15" i="14"/>
  <c r="D24" i="14"/>
  <c r="D13" i="4"/>
  <c r="D17" i="4"/>
  <c r="D16" i="4"/>
  <c r="B16" i="4"/>
  <c r="N13" i="9"/>
  <c r="J14" i="9"/>
  <c r="D17" i="12"/>
  <c r="C21" i="4" l="1"/>
  <c r="E21" i="4" s="1"/>
  <c r="D22" i="18"/>
  <c r="D22" i="16"/>
  <c r="D19" i="14"/>
  <c r="D22" i="17"/>
  <c r="Q13" i="9"/>
  <c r="Q14" i="9" s="1"/>
  <c r="J20" i="4"/>
  <c r="K20" i="4"/>
  <c r="K22" i="12"/>
  <c r="D19" i="12"/>
  <c r="C23" i="12" s="1"/>
  <c r="B12" i="4"/>
  <c r="D23" i="12"/>
  <c r="B12" i="12"/>
  <c r="D21" i="4"/>
  <c r="G21" i="4" s="1"/>
  <c r="H22" i="4"/>
  <c r="J23" i="14" l="1"/>
  <c r="C23" i="14"/>
  <c r="J22" i="14"/>
  <c r="C26" i="16"/>
  <c r="J26" i="16" s="1"/>
  <c r="K21" i="16"/>
  <c r="K22" i="16" s="1"/>
  <c r="J25" i="16"/>
  <c r="C26" i="17"/>
  <c r="K21" i="17"/>
  <c r="K22" i="17" s="1"/>
  <c r="J25" i="17"/>
  <c r="K21" i="18"/>
  <c r="K22" i="18" s="1"/>
  <c r="G23" i="12"/>
  <c r="D24" i="12"/>
  <c r="E23" i="12"/>
  <c r="D22" i="4"/>
  <c r="N14" i="9"/>
  <c r="J26" i="17" l="1"/>
  <c r="E26" i="17"/>
  <c r="E24" i="14"/>
  <c r="F23" i="14"/>
  <c r="J23" i="12"/>
  <c r="F23" i="12"/>
  <c r="K23" i="12" s="1"/>
  <c r="J22" i="12"/>
  <c r="K23" i="14" l="1"/>
  <c r="F24" i="14"/>
  <c r="F26" i="17"/>
  <c r="E27" i="17"/>
  <c r="M26" i="12"/>
  <c r="H15" i="12" s="1"/>
  <c r="H16" i="12" s="1"/>
  <c r="E24" i="12"/>
  <c r="F24" i="12"/>
  <c r="K26" i="17" l="1"/>
  <c r="F27" i="17"/>
  <c r="O23" i="14"/>
  <c r="M26" i="14"/>
  <c r="H15" i="14" s="1"/>
  <c r="L23" i="14" s="1"/>
  <c r="O23" i="12"/>
  <c r="M23" i="14" l="1"/>
  <c r="M24" i="14" s="1"/>
  <c r="L24" i="14"/>
  <c r="Q21" i="9"/>
  <c r="Q20" i="9"/>
  <c r="M29" i="17"/>
  <c r="H18" i="17" s="1"/>
  <c r="O26" i="17"/>
  <c r="N20" i="9"/>
  <c r="N21" i="9"/>
  <c r="L23" i="12"/>
  <c r="N32" i="9" l="1"/>
  <c r="H19" i="17"/>
  <c r="N33" i="9" s="1"/>
  <c r="N35" i="9" s="1"/>
  <c r="J33" i="9"/>
  <c r="J32" i="9"/>
  <c r="L26" i="17"/>
  <c r="M25" i="14"/>
  <c r="H17" i="14" s="1"/>
  <c r="H18" i="14" s="1"/>
  <c r="L24" i="12"/>
  <c r="M23" i="12"/>
  <c r="M24" i="12" s="1"/>
  <c r="J34" i="9" l="1"/>
  <c r="H19" i="14"/>
  <c r="Q22" i="9"/>
  <c r="M26" i="17"/>
  <c r="M27" i="17" s="1"/>
  <c r="L27" i="17"/>
  <c r="M25" i="12"/>
  <c r="H17" i="12" s="1"/>
  <c r="H18" i="12" s="1"/>
  <c r="N22" i="9" s="1"/>
  <c r="M28" i="17" l="1"/>
  <c r="H20" i="17" s="1"/>
  <c r="H21" i="17" s="1"/>
  <c r="N34" i="9" s="1"/>
  <c r="H19" i="12"/>
  <c r="H22" i="17" l="1"/>
  <c r="J21" i="4"/>
  <c r="F21" i="4" l="1"/>
  <c r="E22" i="4"/>
  <c r="F22" i="4" l="1"/>
  <c r="K21" i="4"/>
  <c r="M24" i="4" l="1"/>
  <c r="H13" i="4" s="1"/>
  <c r="H14" i="4" s="1"/>
  <c r="O21" i="4"/>
  <c r="P21" i="4"/>
  <c r="J20" i="9" l="1"/>
  <c r="J19" i="9"/>
  <c r="L21" i="4"/>
  <c r="L22" i="4" l="1"/>
  <c r="M21" i="4"/>
  <c r="M22" i="4" s="1"/>
  <c r="M23" i="4" l="1"/>
  <c r="H15" i="4" s="1"/>
  <c r="H16" i="4" s="1"/>
  <c r="H17" i="4" l="1"/>
  <c r="J21" i="9"/>
  <c r="D16" i="16" l="1"/>
  <c r="D18" i="16" s="1"/>
  <c r="E26" i="16" s="1"/>
  <c r="E27" i="16" l="1"/>
  <c r="F26" i="16"/>
  <c r="F27" i="16" l="1"/>
  <c r="K26" i="16"/>
  <c r="M29" i="16" l="1"/>
  <c r="H18" i="16" s="1"/>
  <c r="L26" i="16" s="1"/>
  <c r="O26" i="16"/>
  <c r="L27" i="16" l="1"/>
  <c r="M26" i="16"/>
  <c r="M27" i="16" s="1"/>
  <c r="H19" i="16"/>
  <c r="Q33" i="9" s="1"/>
  <c r="Q35" i="9" s="1"/>
  <c r="Q32" i="9"/>
  <c r="M28" i="16" l="1"/>
  <c r="H20" i="16" s="1"/>
  <c r="H21" i="16" s="1"/>
  <c r="Q34" i="9" s="1"/>
  <c r="H22" i="16" l="1"/>
</calcChain>
</file>

<file path=xl/sharedStrings.xml><?xml version="1.0" encoding="utf-8"?>
<sst xmlns="http://schemas.openxmlformats.org/spreadsheetml/2006/main" count="246" uniqueCount="67">
  <si>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</si>
  <si>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</si>
  <si>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</si>
  <si>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</si>
  <si>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</si>
  <si>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</si>
  <si>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</si>
  <si>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</si>
  <si>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</si>
  <si>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</si>
  <si>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</si>
  <si>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</si>
  <si>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</si>
  <si>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</si>
  <si>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</si>
  <si>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</si>
  <si>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</si>
  <si>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</si>
  <si>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</si>
  <si>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</si>
  <si>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</si>
  <si>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</si>
  <si>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</si>
  <si>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</si>
  <si>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</si>
  <si>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</si>
  <si>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</si>
  <si>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</si>
  <si>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Fecha de Ampliación y Liquidación</t>
  </si>
  <si>
    <t>Letras del Tesoro Clase 1</t>
  </si>
  <si>
    <t>Letras del Tesoro Clase 2</t>
  </si>
  <si>
    <t>A-3.ar</t>
  </si>
  <si>
    <t>Calificación (Moody's Local)</t>
  </si>
  <si>
    <t>Difusión: jueves 18 de septiembre de 2025</t>
  </si>
  <si>
    <t>Licitación: viernes 19 de septiembre de 2025 de 10 a 16 horas</t>
  </si>
  <si>
    <t>Fecha de Integración en Especie: lunes 22 de septiembre de 2025 hasta las 14 horas</t>
  </si>
  <si>
    <t>Fecha de Emisión y Liquidación: martes 23 de septiembre de 2025 (t+2)</t>
  </si>
  <si>
    <t>Clase 1 (Tasa Fija)</t>
  </si>
  <si>
    <t>Clase 2 (Tamar)</t>
  </si>
  <si>
    <t>Clase 3 (Tamar)</t>
  </si>
  <si>
    <t>Margen a Licitar</t>
  </si>
  <si>
    <t>Ultima Tamar</t>
  </si>
  <si>
    <t>Cupón</t>
  </si>
  <si>
    <t>Relación de Canje</t>
  </si>
  <si>
    <t>Tasa a Licitar</t>
  </si>
  <si>
    <t>Margen s/ Tamar</t>
  </si>
  <si>
    <t>En efectivo</t>
  </si>
  <si>
    <t>Efectivo</t>
  </si>
  <si>
    <t>Tamar</t>
  </si>
  <si>
    <t>Letras del Tesoro Clase 3</t>
  </si>
  <si>
    <t>Canje Letras Serie I Clase 1</t>
  </si>
  <si>
    <t>Relación de canje</t>
  </si>
  <si>
    <t>VN a Suscribir (TFS25)</t>
  </si>
  <si>
    <t>VN a Suscribir Serie II Clase 3</t>
  </si>
  <si>
    <t>Último Pago</t>
  </si>
  <si>
    <t>Monto</t>
  </si>
  <si>
    <t>Capital Residual</t>
  </si>
  <si>
    <t>Interés devengado a la Fecha de Canje</t>
  </si>
  <si>
    <t>Valor Técnico</t>
  </si>
  <si>
    <t>Especie</t>
  </si>
  <si>
    <t>Letras Serie I Clase 1 (TFS25)</t>
  </si>
  <si>
    <t>VN a Suscribir Serie II Clase 2</t>
  </si>
  <si>
    <t>VN a Suscribir Serie II Clase 1</t>
  </si>
  <si>
    <t>**Intereses Corridos serán abonados</t>
  </si>
  <si>
    <t>Tasa Fija a Licitar</t>
  </si>
  <si>
    <t>Fecha de Emisión Letras Serie I Clase 1</t>
  </si>
  <si>
    <t>Los intereses impagos y devengados por las Especies Elegibles serán abonados por la Provincia (o por su cuenta y orden) en forma directa en la cuenta que indiquen los inversores en las respectivas Órdenes de Compra en la Fecha de Emisión y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</si>
</sst>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quot;$&quot;\ * #,##0.00_ ;_ &quot;$&quot;\ * \-#,##0.00_ ;_ &quot;$&quot;\ * &quot;-&quot;??_ ;_ @_ "/>
    <numFmt numFmtId="165" formatCode="_ * #,##0.00_ ;_ * \-#,##0.00_ ;_ * &quot;-&quot;??_ ;_ @_ "/>
    <numFmt numFmtId="166" formatCode="0.0%"/>
    <numFmt numFmtId="167" formatCode="0.00000%"/>
    <numFmt numFmtId="168" formatCode="0.000000%"/>
    <numFmt numFmtId="169" formatCode="_ * #,##0_ ;_ * \-#,##0_ ;_ * &quot;-&quot;??_ ;_ @_ "/>
    <numFmt numFmtId="170" formatCode="#,##0.00000"/>
    <numFmt numFmtId="171" formatCode="#,##0.00000000"/>
    <numFmt numFmtId="172" formatCode="[$-F800]dddd\,\ mmmm\ dd\,\ yyyy"/>
    <numFmt numFmtId="173" formatCode="&quot;$&quot;\ #,##0"/>
    <numFmt numFmtId="174" formatCode="#,##0.000"/>
    <numFmt numFmtId="175" formatCode="#,##0.0000"/>
    <numFmt numFmtId="176" formatCode="#,##0.0"/>
    <numFmt numFmtId="177" formatCode="_ * #,##0.0000000_ ;_ * \-#,##0.0000000_ ;_ * &quot;-&quot;??_ ;_ @_ "/>
    <numFmt numFmtId="178" formatCode="0.0000"/>
    <numFmt numFmtId="179" formatCode="_ * #,##0.00000000_ ;_ * \-#,##0.00000000_ ;_ * &quot;-&quot;??_ ;_ @_ "/>
    <numFmt numFmtId="180" formatCode="_-* #,##0.00000000_-;\-* #,##0.00000000_-;_-* &quot;-&quot;????????_-;_-@_-"/>
    <numFmt numFmtId="181" formatCode="_ * #,##0.00000_ ;_ * \-#,##0.00000_ ;_ * &quot;-&quot;??_ ;_ @_ "/>
    <numFmt numFmtId="182" formatCode="0.00000000000000"/>
    <numFmt numFmtId="183" formatCode="0.0000000"/>
    <numFmt numFmtId="184" formatCode="_ * #,##0.000000_ ;_ * \-#,##0.000000_ ;_ * &quot;-&quot;??_ ;_ @_ "/>
    <numFmt numFmtId="185" formatCode="0.0000%"/>
  </numFmts>
  <fonts count="21" x14ac:knownFonts="1">
    <font>
      <sz val="10"/>
      <name val="Arial"/>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b/>
      <sz val="12"/>
      <name val="Calibri"/>
      <family val="2"/>
      <scheme val="minor"/>
    </font>
    <font>
      <b/>
      <sz val="11"/>
      <color rgb="FF000000"/>
      <name val="Calibri"/>
      <family val="2"/>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top"/>
    </xf>
    <xf numFmtId="165"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2" fillId="0" borderId="0">
      <alignment vertical="top"/>
    </xf>
    <xf numFmtId="0" fontId="1" fillId="0" borderId="0">
      <alignment vertical="top"/>
    </xf>
  </cellStyleXfs>
  <cellXfs count="188">
    <xf numFmtId="0" fontId="0" fillId="0" borderId="0" xfId="0" applyAlignment="1"/>
    <xf numFmtId="0" fontId="9" fillId="0" borderId="0" xfId="0" applyFont="1" applyAlignment="1"/>
    <xf numFmtId="169" fontId="9" fillId="0" borderId="0" xfId="1" applyNumberFormat="1" applyFont="1" applyBorder="1" applyProtection="1"/>
    <xf numFmtId="0" fontId="10" fillId="0" borderId="0" xfId="0" applyFont="1" applyAlignment="1"/>
    <xf numFmtId="168" fontId="9" fillId="0" borderId="0" xfId="6" applyNumberFormat="1" applyFont="1" applyBorder="1" applyProtection="1"/>
    <xf numFmtId="14" fontId="9" fillId="0" borderId="0" xfId="0" applyNumberFormat="1" applyFont="1" applyAlignment="1"/>
    <xf numFmtId="0" fontId="9" fillId="0" borderId="0" xfId="0" applyFont="1">
      <alignment vertical="top"/>
    </xf>
    <xf numFmtId="0" fontId="9" fillId="0" borderId="0" xfId="0" applyFont="1" applyAlignment="1">
      <alignment horizontal="center"/>
    </xf>
    <xf numFmtId="169" fontId="9" fillId="0" borderId="0" xfId="1" applyNumberFormat="1" applyFont="1" applyAlignment="1" applyProtection="1">
      <alignment horizontal="left"/>
    </xf>
    <xf numFmtId="168" fontId="9" fillId="0" borderId="0" xfId="0" applyNumberFormat="1" applyFont="1">
      <alignment vertical="top"/>
    </xf>
    <xf numFmtId="0" fontId="11" fillId="0" borderId="1" xfId="0" applyFont="1" applyBorder="1">
      <alignment vertical="top"/>
    </xf>
    <xf numFmtId="0" fontId="11" fillId="0" borderId="2" xfId="0" applyFont="1" applyBorder="1">
      <alignment vertical="top"/>
    </xf>
    <xf numFmtId="10" fontId="11" fillId="0" borderId="3" xfId="6" applyNumberFormat="1" applyFont="1" applyFill="1" applyBorder="1" applyAlignment="1" applyProtection="1">
      <alignment horizontal="center"/>
    </xf>
    <xf numFmtId="171" fontId="9" fillId="0" borderId="0" xfId="3" applyNumberFormat="1" applyFont="1" applyProtection="1"/>
    <xf numFmtId="167" fontId="9" fillId="0" borderId="0" xfId="6" applyNumberFormat="1" applyFont="1" applyProtection="1"/>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right" vertical="center"/>
    </xf>
    <xf numFmtId="0" fontId="11" fillId="0" borderId="4" xfId="0" applyFont="1" applyBorder="1">
      <alignment vertical="top"/>
    </xf>
    <xf numFmtId="0" fontId="11" fillId="0" borderId="0" xfId="0" applyFont="1">
      <alignment vertical="top"/>
    </xf>
    <xf numFmtId="10" fontId="11" fillId="0" borderId="5" xfId="6" applyNumberFormat="1" applyFont="1" applyFill="1" applyBorder="1" applyAlignment="1" applyProtection="1">
      <alignment horizontal="center"/>
    </xf>
    <xf numFmtId="0" fontId="9" fillId="0" borderId="4" xfId="0" applyFont="1" applyBorder="1">
      <alignment vertical="top"/>
    </xf>
    <xf numFmtId="2" fontId="9" fillId="0" borderId="5" xfId="0" applyNumberFormat="1" applyFont="1" applyBorder="1" applyAlignment="1">
      <alignment horizontal="center"/>
    </xf>
    <xf numFmtId="165" fontId="9" fillId="0" borderId="0" xfId="1" applyFont="1" applyAlignment="1" applyProtection="1"/>
    <xf numFmtId="0" fontId="9" fillId="0" borderId="6" xfId="0" applyFont="1" applyBorder="1" applyAlignment="1">
      <alignment horizontal="center" vertical="center"/>
    </xf>
    <xf numFmtId="0" fontId="9" fillId="0" borderId="7" xfId="0" applyFont="1" applyBorder="1">
      <alignment vertical="top"/>
    </xf>
    <xf numFmtId="0" fontId="9" fillId="0" borderId="6" xfId="0" applyFont="1" applyBorder="1">
      <alignment vertical="top"/>
    </xf>
    <xf numFmtId="2" fontId="9" fillId="0" borderId="8" xfId="0" applyNumberFormat="1" applyFont="1"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10" fontId="11" fillId="2" borderId="11" xfId="6" applyNumberFormat="1" applyFont="1" applyFill="1" applyBorder="1" applyAlignment="1" applyProtection="1">
      <alignment horizontal="center" vertical="center" wrapText="1"/>
    </xf>
    <xf numFmtId="0" fontId="11" fillId="0" borderId="0" xfId="0" applyFont="1" applyAlignment="1">
      <alignment horizontal="center" vertical="center" wrapText="1"/>
    </xf>
    <xf numFmtId="3" fontId="11" fillId="2" borderId="10" xfId="0"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166" fontId="9" fillId="0" borderId="0" xfId="6" applyNumberFormat="1" applyFont="1" applyProtection="1"/>
    <xf numFmtId="172" fontId="9" fillId="0" borderId="12" xfId="0" applyNumberFormat="1" applyFont="1" applyBorder="1" applyAlignment="1">
      <alignment horizontal="center" vertical="center"/>
    </xf>
    <xf numFmtId="3" fontId="9" fillId="0" borderId="13" xfId="0" applyNumberFormat="1" applyFont="1" applyBorder="1" applyAlignment="1"/>
    <xf numFmtId="3" fontId="9" fillId="0" borderId="14" xfId="0" applyNumberFormat="1" applyFont="1" applyBorder="1" applyAlignment="1"/>
    <xf numFmtId="2" fontId="9" fillId="0" borderId="0" xfId="0" applyNumberFormat="1" applyFont="1" applyAlignment="1"/>
    <xf numFmtId="3" fontId="9" fillId="0" borderId="15" xfId="0" applyNumberFormat="1" applyFont="1" applyBorder="1" applyAlignment="1">
      <alignment vertical="center"/>
    </xf>
    <xf numFmtId="10" fontId="9" fillId="0" borderId="15" xfId="6" applyNumberFormat="1" applyFont="1" applyFill="1" applyBorder="1" applyAlignment="1" applyProtection="1">
      <alignment vertical="center"/>
    </xf>
    <xf numFmtId="0" fontId="11" fillId="2" borderId="16" xfId="0" applyFont="1" applyFill="1" applyBorder="1" applyAlignment="1">
      <alignment horizontal="center"/>
    </xf>
    <xf numFmtId="3" fontId="11" fillId="2" borderId="16" xfId="0" applyNumberFormat="1" applyFont="1" applyFill="1" applyBorder="1" applyAlignment="1">
      <alignment vertical="center"/>
    </xf>
    <xf numFmtId="4" fontId="11" fillId="2" borderId="16" xfId="0" applyNumberFormat="1" applyFont="1" applyFill="1" applyBorder="1" applyAlignment="1">
      <alignment vertical="center"/>
    </xf>
    <xf numFmtId="10" fontId="11" fillId="2" borderId="16" xfId="6" applyNumberFormat="1" applyFont="1" applyFill="1" applyBorder="1" applyAlignment="1" applyProtection="1">
      <alignment vertical="center"/>
    </xf>
    <xf numFmtId="0" fontId="9" fillId="0" borderId="0" xfId="0" applyFont="1" applyAlignment="1">
      <alignment vertical="center"/>
    </xf>
    <xf numFmtId="0" fontId="11" fillId="2" borderId="9" xfId="0" applyFont="1" applyFill="1" applyBorder="1" applyAlignment="1">
      <alignment vertical="center"/>
    </xf>
    <xf numFmtId="4" fontId="11" fillId="2" borderId="10" xfId="0" applyNumberFormat="1" applyFont="1" applyFill="1" applyBorder="1" applyAlignment="1">
      <alignment vertical="center"/>
    </xf>
    <xf numFmtId="3" fontId="11" fillId="2" borderId="10" xfId="0" applyNumberFormat="1" applyFont="1" applyFill="1" applyBorder="1" applyAlignment="1">
      <alignment vertical="center"/>
    </xf>
    <xf numFmtId="3" fontId="11" fillId="2" borderId="11" xfId="0" applyNumberFormat="1" applyFont="1" applyFill="1" applyBorder="1" applyAlignment="1">
      <alignment vertical="center"/>
    </xf>
    <xf numFmtId="169" fontId="9" fillId="0" borderId="0" xfId="1" applyNumberFormat="1" applyFont="1" applyAlignment="1" applyProtection="1"/>
    <xf numFmtId="0" fontId="11" fillId="2" borderId="17" xfId="0" applyFont="1" applyFill="1" applyBorder="1" applyAlignment="1"/>
    <xf numFmtId="0" fontId="9" fillId="2" borderId="18" xfId="0" applyFont="1" applyFill="1" applyBorder="1" applyAlignment="1">
      <alignment horizontal="center"/>
    </xf>
    <xf numFmtId="4" fontId="11" fillId="2" borderId="19" xfId="0" applyNumberFormat="1" applyFont="1" applyFill="1" applyBorder="1" applyAlignment="1"/>
    <xf numFmtId="170" fontId="9" fillId="0" borderId="0" xfId="0" applyNumberFormat="1" applyFont="1" applyAlignment="1"/>
    <xf numFmtId="169" fontId="9" fillId="0" borderId="0" xfId="1" applyNumberFormat="1" applyFont="1" applyFill="1" applyAlignment="1" applyProtection="1"/>
    <xf numFmtId="10" fontId="11" fillId="2" borderId="19" xfId="6" applyNumberFormat="1" applyFont="1" applyFill="1" applyBorder="1" applyAlignment="1" applyProtection="1"/>
    <xf numFmtId="0" fontId="12" fillId="0" borderId="0" xfId="0" applyFont="1" applyAlignment="1">
      <alignment vertical="center" wrapText="1"/>
    </xf>
    <xf numFmtId="4" fontId="9" fillId="0" borderId="0" xfId="0" applyNumberFormat="1" applyFont="1" applyAlignment="1"/>
    <xf numFmtId="3" fontId="9" fillId="0" borderId="15"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10" fillId="0" borderId="0" xfId="0" applyFont="1" applyAlignment="1">
      <alignment vertical="center" wrapText="1"/>
    </xf>
    <xf numFmtId="3" fontId="9" fillId="0" borderId="5" xfId="6" applyNumberFormat="1" applyFont="1" applyFill="1" applyBorder="1" applyAlignment="1" applyProtection="1">
      <alignment horizontal="right" vertical="center"/>
    </xf>
    <xf numFmtId="10" fontId="10" fillId="0" borderId="0" xfId="6" applyNumberFormat="1" applyFont="1" applyAlignment="1" applyProtection="1">
      <alignment vertical="center" wrapText="1"/>
    </xf>
    <xf numFmtId="0" fontId="13" fillId="0" borderId="0" xfId="0" applyFont="1" applyAlignment="1">
      <alignment vertical="center" wrapText="1"/>
    </xf>
    <xf numFmtId="0" fontId="3" fillId="0" borderId="0" xfId="0" applyFont="1" applyAlignment="1"/>
    <xf numFmtId="14" fontId="0" fillId="0" borderId="0" xfId="0" applyNumberFormat="1" applyAlignment="1"/>
    <xf numFmtId="172" fontId="11" fillId="2" borderId="9" xfId="0" applyNumberFormat="1" applyFont="1" applyFill="1" applyBorder="1" applyAlignment="1">
      <alignment horizontal="center" vertical="center"/>
    </xf>
    <xf numFmtId="0" fontId="3" fillId="0" borderId="0" xfId="0" applyFont="1" applyAlignment="1">
      <alignment horizontal="center"/>
    </xf>
    <xf numFmtId="0" fontId="11" fillId="0" borderId="4" xfId="0" applyFont="1" applyBorder="1" applyAlignment="1">
      <alignment horizontal="left" vertical="center"/>
    </xf>
    <xf numFmtId="169" fontId="9" fillId="0" borderId="0" xfId="2" applyNumberFormat="1" applyFont="1" applyAlignment="1" applyProtection="1"/>
    <xf numFmtId="173" fontId="11" fillId="5" borderId="19" xfId="0" applyNumberFormat="1" applyFont="1" applyFill="1" applyBorder="1" applyAlignment="1" applyProtection="1">
      <alignment horizontal="right" vertical="center"/>
      <protection locked="0"/>
    </xf>
    <xf numFmtId="0" fontId="9" fillId="0" borderId="7" xfId="0" applyFont="1" applyBorder="1" applyAlignment="1">
      <alignment horizontal="left" vertical="center"/>
    </xf>
    <xf numFmtId="14" fontId="9" fillId="0" borderId="8" xfId="0" applyNumberFormat="1" applyFont="1" applyBorder="1" applyAlignment="1">
      <alignment horizontal="right" vertical="center"/>
    </xf>
    <xf numFmtId="10" fontId="9" fillId="0" borderId="23" xfId="7" applyNumberFormat="1" applyFont="1" applyFill="1" applyBorder="1" applyAlignment="1" applyProtection="1">
      <alignment horizontal="center" vertical="center"/>
    </xf>
    <xf numFmtId="10" fontId="9" fillId="0" borderId="21" xfId="7" applyNumberFormat="1" applyFont="1" applyFill="1" applyBorder="1" applyAlignment="1" applyProtection="1">
      <alignment horizontal="center" vertical="center"/>
    </xf>
    <xf numFmtId="3" fontId="11" fillId="6" borderId="10" xfId="0" applyNumberFormat="1" applyFont="1" applyFill="1" applyBorder="1" applyAlignment="1">
      <alignment vertical="center"/>
    </xf>
    <xf numFmtId="3" fontId="11" fillId="0" borderId="13" xfId="0" applyNumberFormat="1" applyFont="1" applyBorder="1" applyAlignment="1"/>
    <xf numFmtId="10" fontId="9" fillId="0" borderId="5" xfId="0" applyNumberFormat="1" applyFont="1" applyBorder="1" applyAlignment="1">
      <alignment horizontal="right"/>
    </xf>
    <xf numFmtId="9" fontId="9" fillId="0" borderId="5" xfId="0" applyNumberFormat="1" applyFont="1" applyBorder="1" applyAlignment="1">
      <alignment horizontal="right"/>
    </xf>
    <xf numFmtId="10" fontId="11" fillId="4" borderId="19" xfId="7" applyNumberFormat="1" applyFont="1" applyFill="1" applyBorder="1" applyAlignment="1" applyProtection="1">
      <alignment horizontal="center" vertical="center"/>
      <protection locked="0"/>
    </xf>
    <xf numFmtId="0" fontId="7" fillId="0" borderId="0" xfId="0" applyFont="1" applyAlignment="1"/>
    <xf numFmtId="2" fontId="7" fillId="0" borderId="0" xfId="0" applyNumberFormat="1" applyFont="1" applyAlignment="1"/>
    <xf numFmtId="43" fontId="10" fillId="0" borderId="0" xfId="0" applyNumberFormat="1" applyFont="1" applyAlignment="1">
      <alignment vertical="center" wrapText="1"/>
    </xf>
    <xf numFmtId="165" fontId="10" fillId="0" borderId="0" xfId="1" applyFont="1" applyBorder="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14" fillId="3" borderId="0" xfId="0" applyFont="1" applyFill="1" applyAlignment="1"/>
    <xf numFmtId="0" fontId="11" fillId="0" borderId="20" xfId="4" applyFont="1" applyBorder="1" applyAlignment="1">
      <alignment horizontal="left" vertical="center"/>
    </xf>
    <xf numFmtId="14" fontId="9" fillId="0" borderId="21" xfId="4" applyNumberFormat="1" applyFont="1" applyBorder="1" applyAlignment="1">
      <alignment horizontal="center" vertical="center"/>
    </xf>
    <xf numFmtId="0" fontId="11" fillId="0" borderId="22" xfId="4" applyFont="1" applyBorder="1" applyAlignment="1">
      <alignment horizontal="left" vertical="center"/>
    </xf>
    <xf numFmtId="3" fontId="9" fillId="0" borderId="23" xfId="4" applyNumberFormat="1" applyFont="1" applyBorder="1" applyAlignment="1">
      <alignment horizontal="center" vertical="center"/>
    </xf>
    <xf numFmtId="0" fontId="11" fillId="0" borderId="24" xfId="4" applyFont="1" applyBorder="1" applyAlignment="1">
      <alignment horizontal="left" vertical="center"/>
    </xf>
    <xf numFmtId="3" fontId="9" fillId="0" borderId="25" xfId="4" applyNumberFormat="1" applyFont="1" applyBorder="1" applyAlignment="1">
      <alignment horizontal="center" vertical="center"/>
    </xf>
    <xf numFmtId="9" fontId="9" fillId="0" borderId="23" xfId="6" applyFont="1" applyBorder="1" applyAlignment="1" applyProtection="1">
      <alignment horizontal="center" vertical="center"/>
    </xf>
    <xf numFmtId="0" fontId="11" fillId="4" borderId="17" xfId="4" applyFont="1" applyFill="1" applyBorder="1" applyAlignment="1">
      <alignment horizontal="left" vertical="center"/>
    </xf>
    <xf numFmtId="4" fontId="9" fillId="0" borderId="25" xfId="4" applyNumberFormat="1" applyFont="1" applyBorder="1" applyAlignment="1">
      <alignment horizontal="center" vertical="center"/>
    </xf>
    <xf numFmtId="0" fontId="14" fillId="3" borderId="0" xfId="0" quotePrefix="1" applyFont="1" applyFill="1" applyAlignment="1"/>
    <xf numFmtId="10" fontId="11" fillId="5" borderId="0" xfId="0" applyNumberFormat="1" applyFont="1" applyFill="1" applyAlignment="1">
      <alignment horizontal="right"/>
    </xf>
    <xf numFmtId="0" fontId="4" fillId="0" borderId="0" xfId="0" applyFont="1" applyAlignment="1">
      <alignment vertical="center" wrapText="1"/>
    </xf>
    <xf numFmtId="0" fontId="15" fillId="0" borderId="0" xfId="0" applyFont="1" applyAlignment="1">
      <alignment vertical="center" wrapText="1"/>
    </xf>
    <xf numFmtId="174" fontId="11" fillId="2" borderId="10" xfId="0" applyNumberFormat="1" applyFont="1" applyFill="1" applyBorder="1" applyAlignment="1">
      <alignment vertical="center"/>
    </xf>
    <xf numFmtId="175" fontId="11" fillId="6" borderId="10" xfId="0" applyNumberFormat="1" applyFont="1" applyFill="1" applyBorder="1" applyAlignment="1">
      <alignment vertical="center"/>
    </xf>
    <xf numFmtId="175" fontId="11" fillId="2" borderId="10" xfId="0" applyNumberFormat="1" applyFont="1" applyFill="1" applyBorder="1" applyAlignment="1">
      <alignment horizontal="center" vertical="center"/>
    </xf>
    <xf numFmtId="175" fontId="11" fillId="2" borderId="11" xfId="0" applyNumberFormat="1" applyFont="1" applyFill="1" applyBorder="1" applyAlignment="1">
      <alignment horizontal="center" vertical="center"/>
    </xf>
    <xf numFmtId="175" fontId="9" fillId="0" borderId="13" xfId="0" applyNumberFormat="1" applyFont="1" applyBorder="1" applyAlignment="1"/>
    <xf numFmtId="165" fontId="0" fillId="0" borderId="0" xfId="1" applyFont="1" applyAlignment="1"/>
    <xf numFmtId="10" fontId="11" fillId="0" borderId="5" xfId="0" applyNumberFormat="1" applyFont="1" applyBorder="1" applyAlignment="1">
      <alignment horizontal="right"/>
    </xf>
    <xf numFmtId="0" fontId="11" fillId="0" borderId="0" xfId="0" applyFont="1" applyAlignment="1">
      <alignment horizontal="center" vertical="center"/>
    </xf>
    <xf numFmtId="14" fontId="9" fillId="0" borderId="13" xfId="0" applyNumberFormat="1" applyFont="1" applyBorder="1" applyAlignment="1"/>
    <xf numFmtId="3" fontId="9" fillId="0" borderId="26" xfId="0" applyNumberFormat="1" applyFont="1" applyBorder="1" applyAlignment="1"/>
    <xf numFmtId="9" fontId="9" fillId="0" borderId="14" xfId="6" applyFont="1" applyBorder="1" applyAlignment="1"/>
    <xf numFmtId="0" fontId="16" fillId="0" borderId="0" xfId="0" applyFont="1" applyAlignment="1">
      <alignment horizontal="center" vertical="center" wrapText="1"/>
    </xf>
    <xf numFmtId="10" fontId="9" fillId="0" borderId="23" xfId="6" applyNumberFormat="1" applyFont="1" applyBorder="1" applyAlignment="1" applyProtection="1">
      <alignment horizontal="center" vertical="center"/>
    </xf>
    <xf numFmtId="0" fontId="11" fillId="0" borderId="20" xfId="5" applyFont="1" applyBorder="1" applyAlignment="1">
      <alignment horizontal="left" vertical="center"/>
    </xf>
    <xf numFmtId="10" fontId="11" fillId="4" borderId="19" xfId="8" applyNumberFormat="1" applyFont="1" applyFill="1" applyBorder="1" applyAlignment="1" applyProtection="1">
      <alignment horizontal="center" vertical="center"/>
      <protection locked="0"/>
    </xf>
    <xf numFmtId="10" fontId="9" fillId="0" borderId="21" xfId="8" applyNumberFormat="1" applyFont="1" applyFill="1" applyBorder="1" applyAlignment="1" applyProtection="1">
      <alignment horizontal="center" vertical="center"/>
    </xf>
    <xf numFmtId="0" fontId="11" fillId="0" borderId="22" xfId="5" applyFont="1" applyBorder="1" applyAlignment="1">
      <alignment horizontal="left" vertical="center"/>
    </xf>
    <xf numFmtId="10" fontId="9" fillId="0" borderId="23" xfId="8" applyNumberFormat="1" applyFont="1" applyFill="1" applyBorder="1" applyAlignment="1" applyProtection="1">
      <alignment horizontal="center" vertical="center"/>
    </xf>
    <xf numFmtId="4" fontId="9" fillId="0" borderId="23" xfId="5" applyNumberFormat="1" applyFont="1" applyBorder="1" applyAlignment="1">
      <alignment horizontal="center" vertical="center"/>
    </xf>
    <xf numFmtId="0" fontId="11" fillId="4" borderId="17" xfId="5" applyFont="1" applyFill="1" applyBorder="1" applyAlignment="1">
      <alignment horizontal="left" vertical="center"/>
    </xf>
    <xf numFmtId="10" fontId="11" fillId="4" borderId="19" xfId="6" applyNumberFormat="1" applyFont="1" applyFill="1" applyBorder="1" applyAlignment="1" applyProtection="1">
      <alignment horizontal="center" vertical="center"/>
      <protection locked="0"/>
    </xf>
    <xf numFmtId="0" fontId="11" fillId="0" borderId="27" xfId="4" applyFont="1" applyBorder="1" applyAlignment="1">
      <alignment horizontal="left" vertical="center"/>
    </xf>
    <xf numFmtId="10" fontId="9" fillId="0" borderId="28" xfId="8" applyNumberFormat="1" applyFont="1" applyFill="1" applyBorder="1" applyAlignment="1" applyProtection="1">
      <alignment horizontal="center" vertical="center"/>
    </xf>
    <xf numFmtId="176" fontId="9" fillId="0" borderId="13" xfId="0" applyNumberFormat="1" applyFont="1" applyBorder="1" applyAlignment="1"/>
    <xf numFmtId="176" fontId="9" fillId="0" borderId="14" xfId="0" applyNumberFormat="1" applyFont="1" applyBorder="1" applyAlignment="1"/>
    <xf numFmtId="176" fontId="11" fillId="2" borderId="10" xfId="0" applyNumberFormat="1" applyFont="1" applyFill="1" applyBorder="1" applyAlignment="1">
      <alignment vertical="center"/>
    </xf>
    <xf numFmtId="176" fontId="11" fillId="2" borderId="11" xfId="0" applyNumberFormat="1" applyFont="1" applyFill="1" applyBorder="1" applyAlignment="1">
      <alignment vertical="center"/>
    </xf>
    <xf numFmtId="0" fontId="11" fillId="0" borderId="0" xfId="0" applyFont="1" applyAlignment="1">
      <alignment horizont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3" fontId="11" fillId="8" borderId="19" xfId="0" applyNumberFormat="1" applyFont="1" applyFill="1" applyBorder="1" applyAlignment="1" applyProtection="1">
      <alignment horizontal="right" vertical="center"/>
      <protection locked="0"/>
    </xf>
    <xf numFmtId="0" fontId="9" fillId="9" borderId="4" xfId="10" applyFont="1" applyFill="1" applyBorder="1" applyAlignment="1">
      <alignment horizontal="left" vertical="center"/>
    </xf>
    <xf numFmtId="0" fontId="9" fillId="9" borderId="0" xfId="10" applyFont="1" applyFill="1" applyAlignment="1">
      <alignment horizontal="center" vertical="center"/>
    </xf>
    <xf numFmtId="177" fontId="9" fillId="9" borderId="5" xfId="1" applyNumberFormat="1" applyFont="1" applyFill="1" applyBorder="1" applyAlignment="1" applyProtection="1">
      <alignment horizontal="right" vertical="center"/>
    </xf>
    <xf numFmtId="0" fontId="11" fillId="6" borderId="17" xfId="10" applyFont="1" applyFill="1" applyBorder="1" applyAlignment="1">
      <alignment horizontal="left" vertical="center"/>
    </xf>
    <xf numFmtId="0" fontId="9" fillId="6" borderId="18" xfId="10" applyFont="1" applyFill="1" applyBorder="1" applyAlignment="1">
      <alignment horizontal="center" vertical="center"/>
    </xf>
    <xf numFmtId="169" fontId="11" fillId="6" borderId="19" xfId="1" applyNumberFormat="1" applyFont="1" applyFill="1" applyBorder="1" applyAlignment="1" applyProtection="1">
      <alignment horizontal="right"/>
    </xf>
    <xf numFmtId="0" fontId="19" fillId="0" borderId="0" xfId="0" applyFont="1" applyAlignment="1">
      <alignment vertical="center" wrapText="1"/>
    </xf>
    <xf numFmtId="0" fontId="9" fillId="0" borderId="1" xfId="0" applyFont="1" applyBorder="1" applyAlignment="1"/>
    <xf numFmtId="14" fontId="9" fillId="0" borderId="3" xfId="0" applyNumberFormat="1" applyFont="1" applyBorder="1" applyAlignment="1"/>
    <xf numFmtId="0" fontId="9" fillId="0" borderId="4" xfId="0" applyFont="1" applyBorder="1" applyAlignment="1"/>
    <xf numFmtId="10" fontId="9" fillId="0" borderId="5" xfId="6" applyNumberFormat="1" applyFont="1" applyBorder="1" applyAlignment="1" applyProtection="1"/>
    <xf numFmtId="0" fontId="9" fillId="0" borderId="5" xfId="0" applyFont="1" applyBorder="1" applyAlignment="1"/>
    <xf numFmtId="10" fontId="9" fillId="0" borderId="5" xfId="8" applyNumberFormat="1" applyFont="1" applyBorder="1" applyAlignment="1" applyProtection="1"/>
    <xf numFmtId="178" fontId="9" fillId="0" borderId="5" xfId="0" applyNumberFormat="1" applyFont="1" applyBorder="1" applyAlignment="1"/>
    <xf numFmtId="0" fontId="9" fillId="0" borderId="7" xfId="0" applyFont="1" applyBorder="1" applyAlignment="1"/>
    <xf numFmtId="179" fontId="9" fillId="0" borderId="8" xfId="1" applyNumberFormat="1" applyFont="1" applyFill="1" applyBorder="1" applyAlignment="1" applyProtection="1"/>
    <xf numFmtId="10" fontId="9" fillId="0" borderId="0" xfId="6" applyNumberFormat="1" applyFont="1" applyBorder="1" applyAlignment="1" applyProtection="1"/>
    <xf numFmtId="167" fontId="9" fillId="0" borderId="0" xfId="6" applyNumberFormat="1" applyFont="1" applyBorder="1" applyProtection="1"/>
    <xf numFmtId="0" fontId="9" fillId="0" borderId="0" xfId="0" applyFont="1" applyAlignment="1">
      <alignment vertical="center" wrapText="1"/>
    </xf>
    <xf numFmtId="0" fontId="20" fillId="0" borderId="0" xfId="0" applyFont="1" applyAlignment="1">
      <alignment horizontal="center" vertical="center" wrapText="1"/>
    </xf>
    <xf numFmtId="180" fontId="11" fillId="0" borderId="0" xfId="0" applyNumberFormat="1" applyFont="1" applyAlignment="1">
      <alignment vertical="center" wrapText="1"/>
    </xf>
    <xf numFmtId="0" fontId="11" fillId="0" borderId="0" xfId="0" applyFont="1" applyAlignment="1">
      <alignment vertical="center"/>
    </xf>
    <xf numFmtId="165" fontId="9" fillId="0" borderId="0" xfId="1" applyFont="1" applyBorder="1" applyAlignment="1"/>
    <xf numFmtId="165" fontId="9" fillId="9" borderId="5" xfId="1" applyFont="1" applyFill="1" applyBorder="1" applyAlignment="1" applyProtection="1">
      <alignment horizontal="right" vertical="center"/>
    </xf>
    <xf numFmtId="181" fontId="11" fillId="0" borderId="0" xfId="1" applyNumberFormat="1" applyFont="1" applyBorder="1" applyAlignment="1">
      <alignment vertical="center" wrapText="1"/>
    </xf>
    <xf numFmtId="43" fontId="9" fillId="0" borderId="0" xfId="0" applyNumberFormat="1" applyFont="1" applyAlignment="1"/>
    <xf numFmtId="182" fontId="9" fillId="0" borderId="0" xfId="0" applyNumberFormat="1" applyFont="1" applyAlignment="1"/>
    <xf numFmtId="183" fontId="0" fillId="0" borderId="0" xfId="0" applyNumberFormat="1" applyAlignment="1"/>
    <xf numFmtId="169" fontId="11" fillId="6" borderId="18" xfId="1" applyNumberFormat="1" applyFont="1" applyFill="1" applyBorder="1" applyAlignment="1" applyProtection="1">
      <alignment horizontal="right"/>
    </xf>
    <xf numFmtId="10" fontId="9" fillId="0" borderId="0" xfId="0" applyNumberFormat="1" applyFont="1" applyAlignment="1">
      <alignment horizontal="right"/>
    </xf>
    <xf numFmtId="9" fontId="9" fillId="0" borderId="0" xfId="0" applyNumberFormat="1" applyFont="1" applyAlignment="1">
      <alignment horizontal="right"/>
    </xf>
    <xf numFmtId="3" fontId="9" fillId="0" borderId="0" xfId="6" applyNumberFormat="1" applyFont="1" applyFill="1" applyBorder="1" applyAlignment="1" applyProtection="1">
      <alignment horizontal="right" vertical="center"/>
    </xf>
    <xf numFmtId="0" fontId="9" fillId="0" borderId="0" xfId="0" applyFont="1" applyAlignment="1">
      <alignment horizontal="right" vertical="center"/>
    </xf>
    <xf numFmtId="14" fontId="9" fillId="0" borderId="6" xfId="0" applyNumberFormat="1" applyFont="1" applyBorder="1" applyAlignment="1">
      <alignment horizontal="right" vertical="center"/>
    </xf>
    <xf numFmtId="10" fontId="11" fillId="0" borderId="0" xfId="6" applyNumberFormat="1" applyFont="1" applyFill="1" applyBorder="1" applyAlignment="1" applyProtection="1">
      <alignment horizontal="center"/>
    </xf>
    <xf numFmtId="2" fontId="9" fillId="0" borderId="0" xfId="0" applyNumberFormat="1" applyFont="1" applyAlignment="1">
      <alignment horizontal="center"/>
    </xf>
    <xf numFmtId="184" fontId="9" fillId="0" borderId="8" xfId="1" applyNumberFormat="1" applyFont="1" applyFill="1" applyBorder="1" applyAlignment="1" applyProtection="1"/>
    <xf numFmtId="185" fontId="9" fillId="0" borderId="5" xfId="0" applyNumberFormat="1" applyFont="1" applyBorder="1" applyAlignment="1">
      <alignment horizontal="right"/>
    </xf>
    <xf numFmtId="185" fontId="11" fillId="4" borderId="19" xfId="7" applyNumberFormat="1" applyFont="1" applyFill="1" applyBorder="1" applyAlignment="1" applyProtection="1">
      <alignment horizontal="center" vertical="center" wrapText="1"/>
      <protection locked="0"/>
    </xf>
    <xf numFmtId="185" fontId="11" fillId="4" borderId="19" xfId="7"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5" fillId="0" borderId="0" xfId="0" applyFont="1" applyAlignment="1">
      <alignment horizontal="center" vertical="center" wrapText="1"/>
    </xf>
    <xf numFmtId="0" fontId="17" fillId="0" borderId="17" xfId="0" applyFont="1" applyBorder="1" applyAlignment="1">
      <alignment horizontal="center"/>
    </xf>
    <xf numFmtId="0" fontId="17" fillId="0" borderId="19" xfId="0" applyFont="1" applyBorder="1" applyAlignment="1">
      <alignment horizontal="center"/>
    </xf>
    <xf numFmtId="0" fontId="16" fillId="0" borderId="0" xfId="0" applyFont="1" applyAlignment="1">
      <alignment horizontal="center" vertical="center" wrapText="1"/>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left"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cellXfs>
  <cellStyles count="11">
    <cellStyle name="Millares" xfId="1" builtinId="3"/>
    <cellStyle name="Millares 2" xfId="2" xr:uid="{9D9BECA9-33DD-4F20-8CEE-406B0A5DB615}"/>
    <cellStyle name="Moneda" xfId="3" builtinId="4"/>
    <cellStyle name="Normal" xfId="0" builtinId="0"/>
    <cellStyle name="Normal 2" xfId="9" xr:uid="{81DEB0FF-2F77-40BD-B5C8-06BCF6B7F073}"/>
    <cellStyle name="Normal 2 3" xfId="10" xr:uid="{876D1F47-57E9-4EF1-A29E-53A9DFFFC187}"/>
    <cellStyle name="Normal 3" xfId="4" xr:uid="{AFA09EAB-D575-4412-A9D7-960189C13D67}"/>
    <cellStyle name="Normal 3 2" xfId="5" xr:uid="{28B21930-52FD-415B-A9F5-F3DD528C328F}"/>
    <cellStyle name="Porcentaje" xfId="6" builtinId="5"/>
    <cellStyle name="Porcentaje 2" xfId="7" xr:uid="{6D273CF5-75C4-4D2F-81B1-D77481041F36}"/>
    <cellStyle name="Porcentaje 2 2" xfId="8" xr:uid="{F841DD67-ECEA-473D-9431-12703BBD9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488157</xdr:colOff>
      <xdr:row>2</xdr:row>
      <xdr:rowOff>0</xdr:rowOff>
    </xdr:from>
    <xdr:to>
      <xdr:col>13</xdr:col>
      <xdr:colOff>1646989</xdr:colOff>
      <xdr:row>5</xdr:row>
      <xdr:rowOff>153458</xdr:rowOff>
    </xdr:to>
    <xdr:pic>
      <xdr:nvPicPr>
        <xdr:cNvPr id="4" name="x_image7.png">
          <a:extLst>
            <a:ext uri="{FF2B5EF4-FFF2-40B4-BE49-F238E27FC236}">
              <a16:creationId xmlns:a16="http://schemas.microsoft.com/office/drawing/2014/main" id="{FC8FEC33-D299-488F-825B-CBACFEB04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9938" y="464344"/>
          <a:ext cx="1158832" cy="963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404813</xdr:colOff>
      <xdr:row>1</xdr:row>
      <xdr:rowOff>35719</xdr:rowOff>
    </xdr:from>
    <xdr:to>
      <xdr:col>12</xdr:col>
      <xdr:colOff>1837797</xdr:colOff>
      <xdr:row>6</xdr:row>
      <xdr:rowOff>22489</xdr:rowOff>
    </xdr:to>
    <xdr:pic>
      <xdr:nvPicPr>
        <xdr:cNvPr id="5" name="x_x_x_x_Picture 1" descr="A blue and green text on a black background&#10;&#10;Description automatically generated">
          <a:extLst>
            <a:ext uri="{FF2B5EF4-FFF2-40B4-BE49-F238E27FC236}">
              <a16:creationId xmlns:a16="http://schemas.microsoft.com/office/drawing/2014/main" id="{044F46DF-E5FE-40BD-971C-97B73B01F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01126" y="333375"/>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529166</xdr:colOff>
      <xdr:row>8</xdr:row>
      <xdr:rowOff>169334</xdr:rowOff>
    </xdr:from>
    <xdr:to>
      <xdr:col>11</xdr:col>
      <xdr:colOff>582083</xdr:colOff>
      <xdr:row>13</xdr:row>
      <xdr:rowOff>42334</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4402666" y="1312334"/>
          <a:ext cx="7694084"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1 de la Provincia de Tierra del Fuego, garantizadas con la Cesión de Recursos provenientes del Régimen de Coparticipación Federal de Impuestos correspondientes a la Provincia, denominadas, pagaderas y a ser integradas en Pesos a una tasa de interés fija, con vencimiento a los 30 días corridos desde la Fecha de Emisión y Liquidación por un monto de hasta $2.000.000.000 ampliable hasta el Monto Máximo de las Letras Serie II; </a:t>
          </a:r>
          <a:endParaRPr lang="es-419" sz="1100" b="1" i="0"/>
        </a:p>
      </xdr:txBody>
    </xdr:sp>
    <xdr:clientData/>
  </xdr:twoCellAnchor>
  <xdr:twoCellAnchor>
    <xdr:from>
      <xdr:col>1</xdr:col>
      <xdr:colOff>899581</xdr:colOff>
      <xdr:row>4</xdr:row>
      <xdr:rowOff>52916</xdr:rowOff>
    </xdr:from>
    <xdr:to>
      <xdr:col>3</xdr:col>
      <xdr:colOff>78315</xdr:colOff>
      <xdr:row>9</xdr:row>
      <xdr:rowOff>201082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414" y="43391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793751</xdr:colOff>
      <xdr:row>2</xdr:row>
      <xdr:rowOff>148167</xdr:rowOff>
    </xdr:from>
    <xdr:to>
      <xdr:col>9</xdr:col>
      <xdr:colOff>608500</xdr:colOff>
      <xdr:row>7</xdr:row>
      <xdr:rowOff>158751</xdr:rowOff>
    </xdr:to>
    <xdr:pic>
      <xdr:nvPicPr>
        <xdr:cNvPr id="5" name="x_image7.png">
          <a:extLst>
            <a:ext uri="{FF2B5EF4-FFF2-40B4-BE49-F238E27FC236}">
              <a16:creationId xmlns:a16="http://schemas.microsoft.com/office/drawing/2014/main" id="{C4A8AC61-E9A0-061B-0E28-AB78AA19B2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8918" y="148167"/>
          <a:ext cx="1158832" cy="963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159807</xdr:colOff>
      <xdr:row>10</xdr:row>
      <xdr:rowOff>75140</xdr:rowOff>
    </xdr:from>
    <xdr:to>
      <xdr:col>15</xdr:col>
      <xdr:colOff>941917</xdr:colOff>
      <xdr:row>14</xdr:row>
      <xdr:rowOff>74082</xdr:rowOff>
    </xdr:to>
    <xdr:sp macro="" textlink="">
      <xdr:nvSpPr>
        <xdr:cNvPr id="3" name="CuadroTexto 2">
          <a:extLst>
            <a:ext uri="{FF2B5EF4-FFF2-40B4-BE49-F238E27FC236}">
              <a16:creationId xmlns:a16="http://schemas.microsoft.com/office/drawing/2014/main" id="{056F3F78-05BB-A5E3-E63C-5EB004B2015F}"/>
            </a:ext>
          </a:extLst>
        </xdr:cNvPr>
        <xdr:cNvSpPr txBox="1"/>
      </xdr:nvSpPr>
      <xdr:spPr>
        <a:xfrm>
          <a:off x="4403724" y="1726140"/>
          <a:ext cx="9111193" cy="87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2 de la Provincia de Tierra del Fuego, garantizadas con la Cesión de Recursos provenientes del Régimen de Coparticipación Federal de Impuestos correspondientes a la Provincia, denominadas, pagaderas y a ser integradas en Pesos a una tasa de interés variable, con vencimiento a los 30 días corridos desde la Fecha de Emisión y Liquidación por un monto de hasta Pesos $2.000.000.000 ampliable hasta el Monto Máximo de las Letras Serie II </a:t>
          </a:r>
          <a:endParaRPr lang="es-419" b="1"/>
        </a:p>
      </xdr:txBody>
    </xdr:sp>
    <xdr:clientData/>
  </xdr:twoCellAnchor>
  <xdr:twoCellAnchor>
    <xdr:from>
      <xdr:col>1</xdr:col>
      <xdr:colOff>910165</xdr:colOff>
      <xdr:row>5</xdr:row>
      <xdr:rowOff>0</xdr:rowOff>
    </xdr:from>
    <xdr:to>
      <xdr:col>3</xdr:col>
      <xdr:colOff>459315</xdr:colOff>
      <xdr:row>10</xdr:row>
      <xdr:rowOff>0</xdr:rowOff>
    </xdr:to>
    <xdr:pic>
      <xdr:nvPicPr>
        <xdr:cNvPr id="4" name="x_x_x_x_Picture 1" descr="A blue and green text on a black background&#10;&#10;Description automatically generated">
          <a:extLst>
            <a:ext uri="{FF2B5EF4-FFF2-40B4-BE49-F238E27FC236}">
              <a16:creationId xmlns:a16="http://schemas.microsoft.com/office/drawing/2014/main" id="{F4700FA6-6434-4829-8183-6FD897F51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498" y="571500"/>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687917</xdr:colOff>
      <xdr:row>4</xdr:row>
      <xdr:rowOff>84669</xdr:rowOff>
    </xdr:from>
    <xdr:to>
      <xdr:col>9</xdr:col>
      <xdr:colOff>1719405</xdr:colOff>
      <xdr:row>8</xdr:row>
      <xdr:rowOff>179919</xdr:rowOff>
    </xdr:to>
    <xdr:pic>
      <xdr:nvPicPr>
        <xdr:cNvPr id="5" name="x_image7.png">
          <a:extLst>
            <a:ext uri="{FF2B5EF4-FFF2-40B4-BE49-F238E27FC236}">
              <a16:creationId xmlns:a16="http://schemas.microsoft.com/office/drawing/2014/main" id="{64B37558-AD39-4A57-9326-4B05BFA32D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13750" y="465669"/>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965FCCD0-608E-4C70-97AD-CEC9B10CD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190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DA560A0F-363D-4485-82AE-C959E47432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60832" y="518584"/>
          <a:ext cx="1031488" cy="85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550334</xdr:colOff>
      <xdr:row>11</xdr:row>
      <xdr:rowOff>190500</xdr:rowOff>
    </xdr:from>
    <xdr:to>
      <xdr:col>15</xdr:col>
      <xdr:colOff>337610</xdr:colOff>
      <xdr:row>15</xdr:row>
      <xdr:rowOff>136526</xdr:rowOff>
    </xdr:to>
    <xdr:sp macro="" textlink="">
      <xdr:nvSpPr>
        <xdr:cNvPr id="5" name="CuadroTexto 4">
          <a:extLst>
            <a:ext uri="{FF2B5EF4-FFF2-40B4-BE49-F238E27FC236}">
              <a16:creationId xmlns:a16="http://schemas.microsoft.com/office/drawing/2014/main" id="{E860B4BD-C9B6-4E38-A3C8-D0FE8477BF63}"/>
            </a:ext>
          </a:extLst>
        </xdr:cNvPr>
        <xdr:cNvSpPr txBox="1"/>
      </xdr:nvSpPr>
      <xdr:spPr>
        <a:xfrm>
          <a:off x="3799417" y="1640417"/>
          <a:ext cx="9111193" cy="87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2 de la Provincia de Tierra del Fuego, garantizadas con la Cesión de Recursos provenientes del Régimen de Coparticipación Federal de Impuestos correspondientes a la Provincia, denominadas, pagaderas y a ser integradas en Especie a una tasa de interés variable, con vencimiento a los 30 días corridos desde la Fecha de Emisión y Liquidación por un monto de hasta Pesos $2.000.000.000 ampliable hasta el Monto Máximo de las Letras Serie II </a:t>
          </a:r>
          <a:endParaRPr lang="es-419"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159807</xdr:colOff>
      <xdr:row>10</xdr:row>
      <xdr:rowOff>75140</xdr:rowOff>
    </xdr:from>
    <xdr:to>
      <xdr:col>15</xdr:col>
      <xdr:colOff>423333</xdr:colOff>
      <xdr:row>13</xdr:row>
      <xdr:rowOff>211666</xdr:rowOff>
    </xdr:to>
    <xdr:sp macro="" textlink="">
      <xdr:nvSpPr>
        <xdr:cNvPr id="2" name="CuadroTexto 1">
          <a:extLst>
            <a:ext uri="{FF2B5EF4-FFF2-40B4-BE49-F238E27FC236}">
              <a16:creationId xmlns:a16="http://schemas.microsoft.com/office/drawing/2014/main" id="{4DA305DE-B4CC-4A0F-A26F-13069BEF763E}"/>
            </a:ext>
          </a:extLst>
        </xdr:cNvPr>
        <xdr:cNvSpPr txBox="1"/>
      </xdr:nvSpPr>
      <xdr:spPr>
        <a:xfrm>
          <a:off x="4403724" y="1726140"/>
          <a:ext cx="8592609" cy="78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3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62 días corridos desde la Fecha de Emisión y Liquidación por un monto de hasta $2.000.000.000 ampliable hasta el Monto Máximo de las Letras Serie II (conforme se define más abajo); </a:t>
          </a:r>
          <a:endParaRPr lang="es-419" b="1"/>
        </a:p>
      </xdr:txBody>
    </xdr:sp>
    <xdr:clientData/>
  </xdr:twoCellAnchor>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DF8740E7-D3F7-437A-95E1-3083C7646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571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613833</xdr:colOff>
      <xdr:row>4</xdr:row>
      <xdr:rowOff>10585</xdr:rowOff>
    </xdr:from>
    <xdr:to>
      <xdr:col>9</xdr:col>
      <xdr:colOff>1645321</xdr:colOff>
      <xdr:row>8</xdr:row>
      <xdr:rowOff>105835</xdr:rowOff>
    </xdr:to>
    <xdr:pic>
      <xdr:nvPicPr>
        <xdr:cNvPr id="4" name="x_image7.png">
          <a:extLst>
            <a:ext uri="{FF2B5EF4-FFF2-40B4-BE49-F238E27FC236}">
              <a16:creationId xmlns:a16="http://schemas.microsoft.com/office/drawing/2014/main" id="{4BF7E9CA-F2E1-4D6F-8D94-90882BDDD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39666" y="391585"/>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964141</xdr:colOff>
      <xdr:row>11</xdr:row>
      <xdr:rowOff>191558</xdr:rowOff>
    </xdr:from>
    <xdr:to>
      <xdr:col>15</xdr:col>
      <xdr:colOff>624417</xdr:colOff>
      <xdr:row>14</xdr:row>
      <xdr:rowOff>211668</xdr:rowOff>
    </xdr:to>
    <xdr:sp macro="" textlink="">
      <xdr:nvSpPr>
        <xdr:cNvPr id="2" name="CuadroTexto 1">
          <a:extLst>
            <a:ext uri="{FF2B5EF4-FFF2-40B4-BE49-F238E27FC236}">
              <a16:creationId xmlns:a16="http://schemas.microsoft.com/office/drawing/2014/main" id="{142352EE-9DF2-4BF7-8E41-8FB002E53EF1}"/>
            </a:ext>
          </a:extLst>
        </xdr:cNvPr>
        <xdr:cNvSpPr txBox="1"/>
      </xdr:nvSpPr>
      <xdr:spPr>
        <a:xfrm>
          <a:off x="4213224" y="2022475"/>
          <a:ext cx="8984193" cy="71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3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62 días corridos desde la Fecha de Emisión y Liquidación por un monto de hasta $2.000.000.000 ampliable hasta el Monto Máximo de las Letras Serie II (conforme se define más abajo); </a:t>
          </a:r>
          <a:endParaRPr lang="es-419" b="1"/>
        </a:p>
      </xdr:txBody>
    </xdr:sp>
    <xdr:clientData/>
  </xdr:twoCellAnchor>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1D1A076E-9338-473B-AD08-855AB3AF9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571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C8529EE2-D627-4C3C-B315-1796C360E1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71415" y="518584"/>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H1:T52"/>
  <sheetViews>
    <sheetView showGridLines="0" tabSelected="1" zoomScaleNormal="100" workbookViewId="0">
      <selection activeCell="N17" sqref="N17"/>
    </sheetView>
  </sheetViews>
  <sheetFormatPr baseColWidth="10" defaultRowHeight="12.75" x14ac:dyDescent="0.2"/>
  <cols>
    <col min="1" max="1" width="4.85546875" customWidth="1"/>
    <col min="2" max="4" width="4.5703125" customWidth="1"/>
    <col min="5" max="5" width="5.5703125" customWidth="1"/>
    <col min="6" max="6" width="17.28515625" customWidth="1"/>
    <col min="7" max="7" width="7" customWidth="1"/>
    <col min="8" max="8" width="5.7109375" customWidth="1"/>
    <col min="9" max="9" width="27.7109375" customWidth="1"/>
    <col min="10" max="10" width="23.85546875" bestFit="1" customWidth="1"/>
    <col min="11" max="11" width="4.140625" customWidth="1"/>
    <col min="12" max="12" width="11.140625" hidden="1" customWidth="1"/>
    <col min="13" max="13" width="27.7109375" customWidth="1"/>
    <col min="14" max="14" width="23.85546875" bestFit="1" customWidth="1"/>
    <col min="15" max="15" width="4.140625" customWidth="1"/>
    <col min="16" max="16" width="25.28515625" customWidth="1"/>
    <col min="17" max="17" width="23.85546875" customWidth="1"/>
    <col min="18" max="18" width="4.140625" customWidth="1"/>
  </cols>
  <sheetData>
    <row r="1" spans="8:20" ht="23.25" customHeight="1" x14ac:dyDescent="0.2"/>
    <row r="3" spans="8:20" ht="19.5" customHeight="1" x14ac:dyDescent="0.2"/>
    <row r="4" spans="8:20" ht="29.25" customHeight="1" x14ac:dyDescent="0.2"/>
    <row r="5" spans="8:20" ht="15" customHeight="1" x14ac:dyDescent="0.2">
      <c r="H5" s="86"/>
      <c r="I5" s="86"/>
      <c r="J5" s="86"/>
      <c r="K5" s="86"/>
      <c r="L5" s="86"/>
      <c r="M5" s="86"/>
      <c r="N5" s="86"/>
    </row>
    <row r="6" spans="8:20" ht="15" customHeight="1" x14ac:dyDescent="0.2">
      <c r="H6" s="86"/>
      <c r="I6" s="173" t="s">
        <v>33</v>
      </c>
      <c r="J6" s="173"/>
      <c r="K6" s="173"/>
      <c r="L6" s="173"/>
      <c r="M6" s="173"/>
      <c r="N6" s="173"/>
    </row>
    <row r="7" spans="8:20" ht="15" customHeight="1" x14ac:dyDescent="0.2">
      <c r="H7" s="86"/>
      <c r="I7" s="173" t="s">
        <v>34</v>
      </c>
      <c r="J7" s="173"/>
      <c r="K7" s="173"/>
      <c r="L7" s="173"/>
      <c r="M7" s="173"/>
      <c r="N7" s="173"/>
    </row>
    <row r="8" spans="8:20" ht="15" customHeight="1" x14ac:dyDescent="0.2">
      <c r="H8" s="86"/>
      <c r="I8" s="173" t="s">
        <v>35</v>
      </c>
      <c r="J8" s="173"/>
      <c r="K8" s="173"/>
      <c r="L8" s="173"/>
      <c r="M8" s="173"/>
      <c r="N8" s="173"/>
    </row>
    <row r="9" spans="8:20" ht="18.75" customHeight="1" x14ac:dyDescent="0.2">
      <c r="H9" s="86"/>
      <c r="I9" s="173" t="s">
        <v>36</v>
      </c>
      <c r="J9" s="173"/>
      <c r="K9" s="173"/>
      <c r="L9" s="173"/>
      <c r="M9" s="173"/>
      <c r="N9" s="173"/>
      <c r="O9" s="87"/>
      <c r="R9" s="87"/>
    </row>
    <row r="10" spans="8:20" ht="9.9499999999999993" customHeight="1" x14ac:dyDescent="0.2">
      <c r="H10" s="87"/>
      <c r="I10" s="87"/>
      <c r="J10" s="87"/>
      <c r="K10" s="87"/>
      <c r="L10" s="87"/>
      <c r="M10" s="87"/>
      <c r="N10" s="87"/>
      <c r="O10" s="87"/>
      <c r="R10" s="87"/>
    </row>
    <row r="11" spans="8:20" ht="16.5" customHeight="1" x14ac:dyDescent="0.2">
      <c r="H11" s="88"/>
      <c r="I11" s="88"/>
      <c r="J11" s="88"/>
      <c r="K11" s="88"/>
      <c r="L11" s="88"/>
      <c r="M11" s="88"/>
      <c r="N11" s="88"/>
      <c r="O11" s="88"/>
      <c r="P11" s="88"/>
      <c r="Q11" s="88"/>
      <c r="R11" s="88"/>
    </row>
    <row r="12" spans="8:20" ht="23.25" customHeight="1" x14ac:dyDescent="0.35">
      <c r="H12" s="88"/>
      <c r="I12" s="175" t="s">
        <v>37</v>
      </c>
      <c r="J12" s="176"/>
      <c r="K12" s="88"/>
      <c r="L12" s="88"/>
      <c r="M12" s="175" t="s">
        <v>38</v>
      </c>
      <c r="N12" s="176"/>
      <c r="O12" s="88"/>
      <c r="P12" s="175" t="s">
        <v>39</v>
      </c>
      <c r="Q12" s="176"/>
      <c r="R12" s="88"/>
    </row>
    <row r="13" spans="8:20" ht="20.100000000000001" customHeight="1" x14ac:dyDescent="0.2">
      <c r="H13" s="88"/>
      <c r="I13" s="89" t="s">
        <v>22</v>
      </c>
      <c r="J13" s="90">
        <v>45923</v>
      </c>
      <c r="K13" s="88"/>
      <c r="L13" s="88"/>
      <c r="M13" s="89" t="s">
        <v>22</v>
      </c>
      <c r="N13" s="90">
        <f>+J13</f>
        <v>45923</v>
      </c>
      <c r="O13" s="88"/>
      <c r="P13" s="89" t="s">
        <v>22</v>
      </c>
      <c r="Q13" s="90">
        <f>+N13</f>
        <v>45923</v>
      </c>
      <c r="R13" s="88"/>
      <c r="T13" s="160"/>
    </row>
    <row r="14" spans="8:20" ht="20.100000000000001" customHeight="1" x14ac:dyDescent="0.2">
      <c r="H14" s="88"/>
      <c r="I14" s="91" t="s">
        <v>23</v>
      </c>
      <c r="J14" s="90">
        <f>+J13+J15</f>
        <v>45953</v>
      </c>
      <c r="K14" s="88"/>
      <c r="L14" s="88"/>
      <c r="M14" s="91" t="s">
        <v>23</v>
      </c>
      <c r="N14" s="90">
        <f>+N13+N15</f>
        <v>45953</v>
      </c>
      <c r="O14" s="88"/>
      <c r="P14" s="91" t="s">
        <v>23</v>
      </c>
      <c r="Q14" s="90">
        <f>+Q13+Q15</f>
        <v>45985</v>
      </c>
      <c r="R14" s="88"/>
      <c r="T14" s="107"/>
    </row>
    <row r="15" spans="8:20" ht="20.100000000000001" customHeight="1" x14ac:dyDescent="0.2">
      <c r="H15" s="88"/>
      <c r="I15" s="91" t="s">
        <v>20</v>
      </c>
      <c r="J15" s="92">
        <v>30</v>
      </c>
      <c r="K15" s="88"/>
      <c r="L15" s="88"/>
      <c r="M15" s="91" t="s">
        <v>20</v>
      </c>
      <c r="N15" s="92">
        <v>30</v>
      </c>
      <c r="O15" s="88"/>
      <c r="P15" s="91" t="s">
        <v>20</v>
      </c>
      <c r="Q15" s="92">
        <v>62</v>
      </c>
      <c r="R15" s="88"/>
    </row>
    <row r="16" spans="8:20" ht="20.100000000000001" customHeight="1" x14ac:dyDescent="0.2">
      <c r="H16" s="88"/>
      <c r="I16" s="93" t="s">
        <v>24</v>
      </c>
      <c r="J16" s="94" t="s">
        <v>27</v>
      </c>
      <c r="K16" s="88"/>
      <c r="L16" s="88"/>
      <c r="M16" s="91" t="s">
        <v>24</v>
      </c>
      <c r="N16" s="94" t="s">
        <v>27</v>
      </c>
      <c r="O16" s="88"/>
      <c r="P16" s="91" t="s">
        <v>24</v>
      </c>
      <c r="Q16" s="94" t="s">
        <v>27</v>
      </c>
      <c r="R16" s="88"/>
    </row>
    <row r="17" spans="8:18" ht="20.100000000000001" customHeight="1" x14ac:dyDescent="0.2">
      <c r="H17" s="88"/>
      <c r="I17" s="96" t="s">
        <v>64</v>
      </c>
      <c r="J17" s="81">
        <v>0.56220000000000003</v>
      </c>
      <c r="K17" s="88"/>
      <c r="L17" s="88"/>
      <c r="M17" s="96" t="s">
        <v>40</v>
      </c>
      <c r="N17" s="81">
        <v>5.5E-2</v>
      </c>
      <c r="O17" s="88"/>
      <c r="P17" s="96" t="s">
        <v>40</v>
      </c>
      <c r="Q17" s="81">
        <v>5.5E-2</v>
      </c>
      <c r="R17" s="88"/>
    </row>
    <row r="18" spans="8:18" ht="20.100000000000001" customHeight="1" x14ac:dyDescent="0.2">
      <c r="H18" s="88"/>
      <c r="I18" s="91" t="s">
        <v>25</v>
      </c>
      <c r="J18" s="95">
        <v>1</v>
      </c>
      <c r="K18" s="88"/>
      <c r="L18" s="88"/>
      <c r="M18" s="91" t="s">
        <v>42</v>
      </c>
      <c r="N18" s="114">
        <f>+N17+N24</f>
        <v>0.50624999999999998</v>
      </c>
      <c r="O18" s="88"/>
      <c r="P18" s="91" t="s">
        <v>42</v>
      </c>
      <c r="Q18" s="114">
        <f>+Q17+Q24</f>
        <v>0.50624999999999998</v>
      </c>
      <c r="R18" s="88"/>
    </row>
    <row r="19" spans="8:18" ht="20.100000000000001" customHeight="1" x14ac:dyDescent="0.2">
      <c r="H19" s="88"/>
      <c r="I19" s="89" t="s">
        <v>0</v>
      </c>
      <c r="J19" s="76">
        <f>+'Clase 1'!$H$13</f>
        <v>0.73255575895309444</v>
      </c>
      <c r="K19" s="88"/>
      <c r="L19" s="88"/>
      <c r="M19" s="91" t="s">
        <v>25</v>
      </c>
      <c r="N19" s="95">
        <v>1</v>
      </c>
      <c r="O19" s="88"/>
      <c r="P19" s="91" t="s">
        <v>25</v>
      </c>
      <c r="Q19" s="95">
        <v>1</v>
      </c>
      <c r="R19" s="88"/>
    </row>
    <row r="20" spans="8:18" ht="20.100000000000001" customHeight="1" x14ac:dyDescent="0.2">
      <c r="H20" s="88"/>
      <c r="I20" s="91" t="s">
        <v>12</v>
      </c>
      <c r="J20" s="75">
        <f>+'Clase 1'!$H$14</f>
        <v>0.56220000339267795</v>
      </c>
      <c r="K20" s="88"/>
      <c r="L20" s="88"/>
      <c r="M20" s="89" t="s">
        <v>0</v>
      </c>
      <c r="N20" s="76">
        <f>+'Clase 2'!H15</f>
        <v>0.64214106202125554</v>
      </c>
      <c r="O20" s="88"/>
      <c r="P20" s="89" t="s">
        <v>0</v>
      </c>
      <c r="Q20" s="76">
        <f>+'Clase 3'!H15</f>
        <v>0.62472962737083448</v>
      </c>
      <c r="R20" s="88"/>
    </row>
    <row r="21" spans="8:18" ht="20.100000000000001" customHeight="1" x14ac:dyDescent="0.2">
      <c r="H21" s="88"/>
      <c r="I21" s="91" t="s">
        <v>3</v>
      </c>
      <c r="J21" s="97">
        <f>+'Clase 1'!$H$16</f>
        <v>0.98630136986301387</v>
      </c>
      <c r="K21" s="88"/>
      <c r="L21" s="88"/>
      <c r="M21" s="91" t="s">
        <v>12</v>
      </c>
      <c r="N21" s="75">
        <f>+'Clase 2'!H16</f>
        <v>0.50625000097595685</v>
      </c>
      <c r="O21" s="88"/>
      <c r="P21" s="91" t="s">
        <v>12</v>
      </c>
      <c r="Q21" s="75">
        <f>+'Clase 3'!H16</f>
        <v>0.50590886967658277</v>
      </c>
      <c r="R21" s="88"/>
    </row>
    <row r="22" spans="8:18" ht="20.100000000000001" customHeight="1" x14ac:dyDescent="0.2">
      <c r="H22" s="88"/>
      <c r="I22" s="91" t="s">
        <v>32</v>
      </c>
      <c r="J22" s="94" t="s">
        <v>31</v>
      </c>
      <c r="K22" s="88"/>
      <c r="L22" s="88"/>
      <c r="M22" s="91" t="s">
        <v>3</v>
      </c>
      <c r="N22" s="97">
        <f>+'Clase 2'!H18</f>
        <v>0.98630136986301364</v>
      </c>
      <c r="O22" s="88"/>
      <c r="P22" s="91" t="s">
        <v>3</v>
      </c>
      <c r="Q22" s="97">
        <f>+'Clase 3'!H18</f>
        <v>2.0712328767123287</v>
      </c>
      <c r="R22" s="88"/>
    </row>
    <row r="23" spans="8:18" ht="20.100000000000001" customHeight="1" x14ac:dyDescent="0.2">
      <c r="H23" s="88"/>
      <c r="I23" s="88"/>
      <c r="J23" s="88"/>
      <c r="K23" s="88"/>
      <c r="L23" s="88"/>
      <c r="M23" s="91" t="s">
        <v>32</v>
      </c>
      <c r="N23" s="94" t="s">
        <v>31</v>
      </c>
      <c r="O23" s="88"/>
      <c r="P23" s="91" t="s">
        <v>32</v>
      </c>
      <c r="Q23" s="94" t="s">
        <v>31</v>
      </c>
      <c r="R23" s="88"/>
    </row>
    <row r="24" spans="8:18" ht="20.100000000000001" customHeight="1" x14ac:dyDescent="0.2">
      <c r="H24" s="88"/>
      <c r="I24" s="88"/>
      <c r="J24" s="88"/>
      <c r="K24" s="88"/>
      <c r="L24" s="88"/>
      <c r="M24" s="96" t="s">
        <v>41</v>
      </c>
      <c r="N24" s="171">
        <v>0.45124999999999998</v>
      </c>
      <c r="O24" s="88"/>
      <c r="P24" s="96" t="s">
        <v>41</v>
      </c>
      <c r="Q24" s="172">
        <f>+N24</f>
        <v>0.45124999999999998</v>
      </c>
      <c r="R24" s="88"/>
    </row>
    <row r="25" spans="8:18" ht="20.100000000000001" hidden="1" customHeight="1" x14ac:dyDescent="0.2">
      <c r="H25" s="88"/>
      <c r="I25" s="88"/>
      <c r="J25" s="88"/>
      <c r="K25" s="88"/>
      <c r="L25" s="88"/>
      <c r="M25" s="88"/>
      <c r="N25" s="88"/>
      <c r="O25" s="88"/>
      <c r="P25" s="88"/>
      <c r="Q25" s="88"/>
      <c r="R25" s="88"/>
    </row>
    <row r="26" spans="8:18" ht="20.100000000000001" hidden="1" customHeight="1" x14ac:dyDescent="0.2">
      <c r="H26" s="88"/>
      <c r="I26" s="88"/>
      <c r="J26" s="88"/>
      <c r="K26" s="88"/>
      <c r="L26" s="88"/>
      <c r="M26" s="88"/>
      <c r="N26" s="88"/>
      <c r="O26" s="88"/>
      <c r="P26" s="88"/>
      <c r="Q26" s="88"/>
      <c r="R26" s="88"/>
    </row>
    <row r="27" spans="8:18" ht="20.100000000000001" hidden="1" customHeight="1" x14ac:dyDescent="0.2">
      <c r="H27" s="88"/>
      <c r="I27" s="88"/>
      <c r="J27" s="88"/>
      <c r="K27" s="88"/>
      <c r="L27" s="88"/>
      <c r="M27" s="88"/>
      <c r="N27" s="88"/>
      <c r="O27" s="88"/>
      <c r="P27" s="88"/>
      <c r="Q27" s="88"/>
      <c r="R27" s="88"/>
    </row>
    <row r="28" spans="8:18" ht="20.100000000000001" customHeight="1" x14ac:dyDescent="0.2">
      <c r="H28" s="88"/>
      <c r="I28" s="88"/>
      <c r="J28" s="88"/>
      <c r="K28" s="88"/>
      <c r="L28" s="88"/>
      <c r="M28" s="88"/>
      <c r="N28" s="88"/>
      <c r="O28" s="88"/>
      <c r="P28" s="88"/>
      <c r="Q28" s="88"/>
      <c r="R28" s="88"/>
    </row>
    <row r="29" spans="8:18" ht="20.100000000000001" hidden="1" customHeight="1" x14ac:dyDescent="0.35">
      <c r="H29" s="88"/>
      <c r="I29" s="175" t="s">
        <v>50</v>
      </c>
      <c r="J29" s="176"/>
      <c r="K29" s="88"/>
      <c r="L29" s="88"/>
      <c r="M29" s="175" t="s">
        <v>50</v>
      </c>
      <c r="N29" s="176"/>
      <c r="O29" s="88"/>
      <c r="P29" s="175" t="s">
        <v>50</v>
      </c>
      <c r="Q29" s="176"/>
      <c r="R29" s="88"/>
    </row>
    <row r="30" spans="8:18" ht="20.100000000000001" hidden="1" customHeight="1" x14ac:dyDescent="0.2">
      <c r="H30" s="88"/>
      <c r="I30" s="115" t="s">
        <v>43</v>
      </c>
      <c r="J30" s="120">
        <v>1</v>
      </c>
      <c r="K30" s="88"/>
      <c r="L30" s="88"/>
      <c r="M30" s="115" t="s">
        <v>43</v>
      </c>
      <c r="N30" s="120">
        <v>1</v>
      </c>
      <c r="O30" s="88"/>
      <c r="P30" s="115" t="s">
        <v>43</v>
      </c>
      <c r="Q30" s="120">
        <v>1</v>
      </c>
      <c r="R30" s="88"/>
    </row>
    <row r="31" spans="8:18" ht="20.100000000000001" hidden="1" customHeight="1" x14ac:dyDescent="0.2">
      <c r="H31" s="88"/>
      <c r="I31" s="96" t="s">
        <v>44</v>
      </c>
      <c r="J31" s="116">
        <v>0.5</v>
      </c>
      <c r="K31" s="88"/>
      <c r="L31" s="88"/>
      <c r="M31" s="121" t="s">
        <v>40</v>
      </c>
      <c r="N31" s="122">
        <v>5.5E-2</v>
      </c>
      <c r="O31" s="88"/>
      <c r="P31" s="121" t="s">
        <v>40</v>
      </c>
      <c r="Q31" s="122">
        <v>5.5E-2</v>
      </c>
      <c r="R31" s="88"/>
    </row>
    <row r="32" spans="8:18" ht="20.100000000000001" hidden="1" customHeight="1" x14ac:dyDescent="0.2">
      <c r="H32" s="88"/>
      <c r="I32" s="115" t="s">
        <v>0</v>
      </c>
      <c r="J32" s="117">
        <f>+'Intereses Serie I Clase 1'!H18</f>
        <v>0</v>
      </c>
      <c r="K32" s="88"/>
      <c r="L32" s="88"/>
      <c r="M32" s="115" t="s">
        <v>0</v>
      </c>
      <c r="N32" s="117">
        <f>+'Clase 2 (Canje)'!H18</f>
        <v>0.64214106202125554</v>
      </c>
      <c r="O32" s="88"/>
      <c r="P32" s="115" t="s">
        <v>0</v>
      </c>
      <c r="Q32" s="117">
        <f>+'Clase 3 (Canje)'!H18</f>
        <v>0.62472962737083448</v>
      </c>
      <c r="R32" s="88"/>
    </row>
    <row r="33" spans="8:18" ht="20.100000000000001" hidden="1" customHeight="1" x14ac:dyDescent="0.2">
      <c r="H33" s="88"/>
      <c r="I33" s="118" t="s">
        <v>12</v>
      </c>
      <c r="J33" s="119">
        <f>+'Intereses Serie I Clase 1'!H19</f>
        <v>0</v>
      </c>
      <c r="K33" s="88"/>
      <c r="L33" s="88"/>
      <c r="M33" s="118" t="s">
        <v>12</v>
      </c>
      <c r="N33" s="119">
        <f>+'Clase 2 (Canje)'!H19</f>
        <v>0.50625000097595685</v>
      </c>
      <c r="O33" s="88"/>
      <c r="P33" s="118" t="s">
        <v>12</v>
      </c>
      <c r="Q33" s="119">
        <f>+'Clase 3 (Canje)'!H19</f>
        <v>0.50590886967658277</v>
      </c>
      <c r="R33" s="88"/>
    </row>
    <row r="34" spans="8:18" ht="20.100000000000001" hidden="1" customHeight="1" x14ac:dyDescent="0.2">
      <c r="H34" s="88"/>
      <c r="I34" s="118" t="s">
        <v>3</v>
      </c>
      <c r="J34" s="120">
        <f>+'Intereses Serie I Clase 1'!H21</f>
        <v>0</v>
      </c>
      <c r="K34" s="88"/>
      <c r="L34" s="88"/>
      <c r="M34" s="118" t="s">
        <v>3</v>
      </c>
      <c r="N34" s="120">
        <f>+'Clase 2 (Canje)'!H21</f>
        <v>0.98630136986301364</v>
      </c>
      <c r="O34" s="88"/>
      <c r="P34" s="118" t="s">
        <v>3</v>
      </c>
      <c r="Q34" s="120">
        <f>+'Clase 3 (Canje)'!H21</f>
        <v>2.0712328767123287</v>
      </c>
      <c r="R34" s="88"/>
    </row>
    <row r="35" spans="8:18" ht="20.100000000000001" hidden="1" customHeight="1" x14ac:dyDescent="0.2">
      <c r="H35" s="88"/>
      <c r="I35" s="88"/>
      <c r="J35" s="88"/>
      <c r="K35" s="88"/>
      <c r="L35" s="88"/>
      <c r="M35" s="123" t="s">
        <v>45</v>
      </c>
      <c r="N35" s="124">
        <f>+N33-N24</f>
        <v>5.5000000975956864E-2</v>
      </c>
      <c r="O35" s="88"/>
      <c r="P35" s="123" t="s">
        <v>45</v>
      </c>
      <c r="Q35" s="124">
        <f>+Q33-Q24</f>
        <v>5.4658869676582789E-2</v>
      </c>
      <c r="R35" s="88"/>
    </row>
    <row r="36" spans="8:18" ht="20.100000000000001" customHeight="1" x14ac:dyDescent="0.2">
      <c r="H36" s="88"/>
      <c r="I36" s="88"/>
      <c r="J36" s="88"/>
      <c r="K36" s="88"/>
      <c r="L36" s="88"/>
      <c r="M36" s="88"/>
      <c r="N36" s="88"/>
      <c r="O36" s="88"/>
      <c r="P36" s="88"/>
      <c r="Q36" s="88"/>
      <c r="R36" s="88"/>
    </row>
    <row r="37" spans="8:18" ht="20.100000000000001" hidden="1" customHeight="1" x14ac:dyDescent="0.2">
      <c r="H37" s="88"/>
      <c r="I37" s="88"/>
      <c r="J37" s="88"/>
      <c r="K37" s="88"/>
      <c r="L37" s="88"/>
      <c r="M37" s="88"/>
      <c r="N37" s="98"/>
      <c r="O37" s="88"/>
      <c r="P37" s="88"/>
      <c r="Q37" s="88"/>
      <c r="R37" s="88"/>
    </row>
    <row r="38" spans="8:18" ht="9" customHeight="1" x14ac:dyDescent="0.2"/>
    <row r="39" spans="8:18" ht="12.75" customHeight="1" x14ac:dyDescent="0.25">
      <c r="H39" s="99"/>
      <c r="I39" s="71" t="s">
        <v>26</v>
      </c>
    </row>
    <row r="41" spans="8:18" ht="12.75" customHeight="1" x14ac:dyDescent="0.2">
      <c r="H41" s="174" t="s">
        <v>17</v>
      </c>
      <c r="I41" s="174"/>
      <c r="J41" s="174"/>
      <c r="K41" s="174"/>
      <c r="L41" s="174"/>
      <c r="M41" s="174"/>
      <c r="N41" s="174"/>
      <c r="O41" s="174"/>
      <c r="P41" s="174"/>
      <c r="Q41" s="174"/>
    </row>
    <row r="42" spans="8:18" ht="12.75" customHeight="1" x14ac:dyDescent="0.2">
      <c r="H42" s="174"/>
      <c r="I42" s="174"/>
      <c r="J42" s="174"/>
      <c r="K42" s="174"/>
      <c r="L42" s="174"/>
      <c r="M42" s="174"/>
      <c r="N42" s="174"/>
      <c r="O42" s="174"/>
      <c r="P42" s="174"/>
      <c r="Q42" s="174"/>
    </row>
    <row r="43" spans="8:18" ht="15" customHeight="1" x14ac:dyDescent="0.2">
      <c r="H43" s="174"/>
      <c r="I43" s="174"/>
      <c r="J43" s="174"/>
      <c r="K43" s="174"/>
      <c r="L43" s="174"/>
      <c r="M43" s="174"/>
      <c r="N43" s="174"/>
      <c r="O43" s="174"/>
      <c r="P43" s="174"/>
      <c r="Q43" s="174"/>
    </row>
    <row r="44" spans="8:18" ht="12.75" customHeight="1" x14ac:dyDescent="0.2">
      <c r="H44" s="174"/>
      <c r="I44" s="174"/>
      <c r="J44" s="174"/>
      <c r="K44" s="174"/>
      <c r="L44" s="174"/>
      <c r="M44" s="174"/>
      <c r="N44" s="174"/>
      <c r="O44" s="174"/>
      <c r="P44" s="174"/>
      <c r="Q44" s="174"/>
    </row>
    <row r="45" spans="8:18" ht="15" customHeight="1" x14ac:dyDescent="0.2">
      <c r="H45" s="174"/>
      <c r="I45" s="174"/>
      <c r="J45" s="174"/>
      <c r="K45" s="174"/>
      <c r="L45" s="174"/>
      <c r="M45" s="174"/>
      <c r="N45" s="174"/>
      <c r="O45" s="174"/>
      <c r="P45" s="174"/>
      <c r="Q45" s="174"/>
    </row>
    <row r="46" spans="8:18" ht="13.5" customHeight="1" x14ac:dyDescent="0.2">
      <c r="I46" s="100"/>
      <c r="J46" s="100"/>
      <c r="K46" s="100"/>
      <c r="L46" s="100"/>
      <c r="M46" s="100"/>
      <c r="N46" s="100"/>
      <c r="O46" s="100"/>
      <c r="R46" s="100"/>
    </row>
    <row r="47" spans="8:18" ht="20.25" customHeight="1" x14ac:dyDescent="0.2">
      <c r="H47" s="174" t="s">
        <v>18</v>
      </c>
      <c r="I47" s="174"/>
      <c r="J47" s="174"/>
      <c r="K47" s="174"/>
      <c r="L47" s="174"/>
      <c r="M47" s="174"/>
      <c r="N47" s="174"/>
      <c r="O47" s="174"/>
      <c r="P47" s="174"/>
      <c r="Q47" s="174"/>
      <c r="R47" s="101"/>
    </row>
    <row r="48" spans="8:18" ht="18" customHeight="1" x14ac:dyDescent="0.2">
      <c r="H48" s="174"/>
      <c r="I48" s="174"/>
      <c r="J48" s="174"/>
      <c r="K48" s="174"/>
      <c r="L48" s="174"/>
      <c r="M48" s="174"/>
      <c r="N48" s="174"/>
      <c r="O48" s="174"/>
      <c r="P48" s="174"/>
      <c r="Q48" s="174"/>
      <c r="R48" s="101"/>
    </row>
    <row r="49" spans="8:18" ht="37.5" customHeight="1" x14ac:dyDescent="0.2">
      <c r="H49" s="174"/>
      <c r="I49" s="174"/>
      <c r="J49" s="174"/>
      <c r="K49" s="174"/>
      <c r="L49" s="174"/>
      <c r="M49" s="174"/>
      <c r="N49" s="174"/>
      <c r="O49" s="174"/>
      <c r="P49" s="174"/>
      <c r="Q49" s="174"/>
      <c r="R49" s="101"/>
    </row>
    <row r="50" spans="8:18" ht="12.75" customHeight="1" x14ac:dyDescent="0.2">
      <c r="H50" s="101"/>
      <c r="I50" s="101"/>
      <c r="J50" s="101"/>
      <c r="K50" s="101"/>
      <c r="L50" s="101"/>
      <c r="M50" s="101"/>
      <c r="N50" s="101"/>
      <c r="O50" s="101"/>
      <c r="P50" s="101"/>
      <c r="Q50" s="101"/>
      <c r="R50" s="101"/>
    </row>
    <row r="51" spans="8:18" ht="12.75" customHeight="1" x14ac:dyDescent="0.2">
      <c r="H51" s="101"/>
      <c r="I51" s="101"/>
      <c r="J51" s="101"/>
      <c r="K51" s="101"/>
      <c r="L51" s="101"/>
      <c r="M51" s="101"/>
      <c r="N51" s="101"/>
      <c r="O51" s="101"/>
      <c r="P51" s="101"/>
      <c r="Q51" s="101"/>
      <c r="R51" s="101"/>
    </row>
    <row r="52" spans="8:18" ht="12.75" customHeight="1" x14ac:dyDescent="0.2">
      <c r="H52" s="101"/>
      <c r="I52" s="101"/>
      <c r="J52" s="101"/>
      <c r="K52" s="101"/>
      <c r="L52" s="101"/>
      <c r="M52" s="101"/>
      <c r="N52" s="101"/>
      <c r="O52" s="101"/>
      <c r="P52" s="101"/>
      <c r="Q52" s="101"/>
      <c r="R52" s="101"/>
    </row>
  </sheetData>
  <sheetProtection sheet="1" selectLockedCells="1"/>
  <mergeCells count="12">
    <mergeCell ref="I6:N6"/>
    <mergeCell ref="I9:N9"/>
    <mergeCell ref="I7:N7"/>
    <mergeCell ref="H47:Q49"/>
    <mergeCell ref="I12:J12"/>
    <mergeCell ref="M12:N12"/>
    <mergeCell ref="H41:Q45"/>
    <mergeCell ref="P12:Q12"/>
    <mergeCell ref="I8:N8"/>
    <mergeCell ref="M29:N29"/>
    <mergeCell ref="P29:Q29"/>
    <mergeCell ref="I29:J29"/>
  </mergeCells>
  <pageMargins left="0.7" right="0.7" top="0.75" bottom="0.75" header="0.3" footer="0.3"/>
  <ignoredErrors>
    <ignoredError sqref="N18"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9.28515625" style="1" bestFit="1" customWidth="1"/>
    <col min="12" max="12" width="15" style="1" customWidth="1"/>
    <col min="13" max="13" width="13.855468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25">
      <c r="E9" s="65"/>
      <c r="F9" s="65"/>
      <c r="G9" s="183" t="s">
        <v>46</v>
      </c>
      <c r="H9" s="183"/>
      <c r="I9" s="183"/>
      <c r="J9" s="183"/>
      <c r="K9" s="65"/>
      <c r="L9" s="65"/>
      <c r="M9" s="65"/>
      <c r="O9" s="177"/>
      <c r="P9" s="177"/>
      <c r="Q9" s="177"/>
      <c r="R9" s="177"/>
      <c r="S9" s="177"/>
    </row>
    <row r="10" spans="2:19" ht="26.25" customHeight="1" x14ac:dyDescent="0.35">
      <c r="E10" s="65"/>
      <c r="G10" s="66"/>
      <c r="H10" s="66"/>
      <c r="I10" s="66"/>
      <c r="J10" s="66"/>
      <c r="L10" s="65"/>
      <c r="M10" s="65"/>
      <c r="O10" s="177"/>
      <c r="P10" s="177"/>
      <c r="Q10" s="177"/>
      <c r="R10" s="177"/>
      <c r="S10" s="177"/>
    </row>
    <row r="11" spans="2:19" ht="21" customHeight="1" x14ac:dyDescent="0.35">
      <c r="E11" s="65"/>
      <c r="F11" s="65"/>
      <c r="G11" s="69"/>
      <c r="H11" s="69"/>
      <c r="I11" s="69"/>
      <c r="J11" s="69"/>
      <c r="L11" s="65"/>
      <c r="M11" s="65"/>
      <c r="O11" s="177"/>
      <c r="P11" s="177"/>
      <c r="Q11" s="177"/>
      <c r="R11" s="177"/>
      <c r="S11" s="177"/>
    </row>
    <row r="12" spans="2:19" ht="18" customHeight="1" x14ac:dyDescent="0.25">
      <c r="B12" s="181" t="str">
        <f>+B19</f>
        <v>Letras del Tesoro Clase 1</v>
      </c>
      <c r="C12" s="182"/>
      <c r="D12" s="72">
        <v>100000</v>
      </c>
      <c r="E12" s="6"/>
      <c r="I12" s="58"/>
      <c r="J12" s="58"/>
      <c r="K12" s="58"/>
      <c r="L12" s="58"/>
      <c r="M12" s="58"/>
      <c r="O12" s="177"/>
      <c r="P12" s="177"/>
      <c r="Q12" s="177"/>
      <c r="R12" s="177"/>
      <c r="S12" s="177"/>
    </row>
    <row r="13" spans="2:19" ht="15" customHeight="1" x14ac:dyDescent="0.25">
      <c r="B13" s="70" t="s">
        <v>15</v>
      </c>
      <c r="C13" s="109"/>
      <c r="D13" s="108">
        <f>+Resumen!J17</f>
        <v>0.56220000000000003</v>
      </c>
      <c r="E13" s="6"/>
      <c r="F13" s="10" t="s">
        <v>0</v>
      </c>
      <c r="G13" s="11"/>
      <c r="H13" s="12">
        <f>M24</f>
        <v>0.73255575895309444</v>
      </c>
      <c r="J13" s="62"/>
      <c r="K13" s="58"/>
      <c r="L13" s="8"/>
    </row>
    <row r="14" spans="2:19" ht="15" customHeight="1" x14ac:dyDescent="0.25">
      <c r="B14" s="15" t="s">
        <v>25</v>
      </c>
      <c r="C14" s="16"/>
      <c r="D14" s="80">
        <v>1</v>
      </c>
      <c r="E14" s="6"/>
      <c r="F14" s="18" t="s">
        <v>12</v>
      </c>
      <c r="G14" s="19"/>
      <c r="H14" s="20">
        <f>+((1+H13)^(D16/365)-1)/D16*365</f>
        <v>0.56220000339267795</v>
      </c>
      <c r="J14" s="62"/>
      <c r="K14" s="58"/>
      <c r="L14" s="8"/>
    </row>
    <row r="15" spans="2:19" ht="15" customHeight="1" x14ac:dyDescent="0.25">
      <c r="B15" s="15" t="s">
        <v>1</v>
      </c>
      <c r="C15" s="16"/>
      <c r="D15" s="17">
        <v>365</v>
      </c>
      <c r="E15" s="6"/>
      <c r="F15" s="21" t="s">
        <v>2</v>
      </c>
      <c r="G15" s="6"/>
      <c r="H15" s="22">
        <f>+M23</f>
        <v>8.2191780821917818E-2</v>
      </c>
      <c r="J15" s="84"/>
      <c r="K15" s="58"/>
      <c r="L15" s="8"/>
    </row>
    <row r="16" spans="2:19" ht="15" customHeight="1" x14ac:dyDescent="0.25">
      <c r="B16" s="15" t="str">
        <f>+Resumen!I15</f>
        <v>Plazo (días)</v>
      </c>
      <c r="C16" s="16"/>
      <c r="D16" s="17">
        <f>+Resumen!J15</f>
        <v>30</v>
      </c>
      <c r="E16" s="9"/>
      <c r="F16" s="21" t="s">
        <v>3</v>
      </c>
      <c r="G16" s="6"/>
      <c r="H16" s="22">
        <f>+H15*12</f>
        <v>0.98630136986301387</v>
      </c>
      <c r="I16" s="7"/>
      <c r="J16" s="85"/>
      <c r="K16" s="58"/>
      <c r="L16" s="13"/>
      <c r="M16" s="14"/>
    </row>
    <row r="17" spans="2:18" ht="15" customHeight="1" x14ac:dyDescent="0.25">
      <c r="B17" s="73" t="s">
        <v>28</v>
      </c>
      <c r="C17" s="24"/>
      <c r="D17" s="74">
        <f>+Resumen!J13</f>
        <v>45923</v>
      </c>
      <c r="E17" s="9"/>
      <c r="F17" s="25" t="s">
        <v>11</v>
      </c>
      <c r="G17" s="26"/>
      <c r="H17" s="27">
        <f>H16/(1+H13)</f>
        <v>0.5692753983623543</v>
      </c>
      <c r="I17" s="7"/>
      <c r="J17" s="62"/>
      <c r="K17" s="58"/>
      <c r="L17" s="13"/>
      <c r="M17" s="14"/>
    </row>
    <row r="18" spans="2:18" ht="15" customHeight="1" x14ac:dyDescent="0.25">
      <c r="E18" s="9"/>
      <c r="I18" s="7"/>
      <c r="J18" s="64"/>
      <c r="K18" s="58"/>
      <c r="L18" s="13"/>
      <c r="M18" s="14"/>
    </row>
    <row r="19" spans="2:18" ht="18" customHeight="1" x14ac:dyDescent="0.25">
      <c r="B19" s="178" t="s">
        <v>29</v>
      </c>
      <c r="C19" s="179"/>
      <c r="D19" s="179"/>
      <c r="E19" s="179"/>
      <c r="F19" s="179"/>
      <c r="G19" s="179"/>
      <c r="H19" s="180"/>
      <c r="J19" s="178" t="s">
        <v>13</v>
      </c>
      <c r="K19" s="179"/>
      <c r="L19" s="179"/>
      <c r="M19" s="179"/>
    </row>
    <row r="20" spans="2:18" ht="30.75" customHeight="1" x14ac:dyDescent="0.25">
      <c r="B20" s="28" t="s">
        <v>4</v>
      </c>
      <c r="C20" s="29" t="s">
        <v>16</v>
      </c>
      <c r="D20" s="30" t="s">
        <v>5</v>
      </c>
      <c r="E20" s="30" t="s">
        <v>6</v>
      </c>
      <c r="F20" s="29" t="s">
        <v>7</v>
      </c>
      <c r="G20" s="30" t="s">
        <v>8</v>
      </c>
      <c r="H20" s="31" t="s">
        <v>9</v>
      </c>
      <c r="I20" s="32"/>
      <c r="J20" s="68">
        <f>+D17</f>
        <v>45923</v>
      </c>
      <c r="K20" s="103">
        <f>-D12*D14</f>
        <v>-100000</v>
      </c>
      <c r="L20" s="104" t="s">
        <v>10</v>
      </c>
      <c r="M20" s="105" t="s">
        <v>19</v>
      </c>
      <c r="O20" s="82">
        <v>0</v>
      </c>
      <c r="P20" s="1">
        <v>0</v>
      </c>
    </row>
    <row r="21" spans="2:18" ht="18" customHeight="1" x14ac:dyDescent="0.25">
      <c r="B21" s="60">
        <v>1</v>
      </c>
      <c r="C21" s="61">
        <f>+D17+D16</f>
        <v>45953</v>
      </c>
      <c r="D21" s="40">
        <f>+H21*$D$12</f>
        <v>100000</v>
      </c>
      <c r="E21" s="40">
        <f>D12*$D$13/$D$15*(C21-D17)</f>
        <v>4620.821917808219</v>
      </c>
      <c r="F21" s="40">
        <f>+E21+D21</f>
        <v>104620.82191780822</v>
      </c>
      <c r="G21" s="40">
        <f>+D12-D21</f>
        <v>0</v>
      </c>
      <c r="H21" s="41">
        <v>1</v>
      </c>
      <c r="I21" s="35"/>
      <c r="J21" s="36">
        <f>+WORKDAY(C21-1,1,Feriados!$A$2:$A$163)</f>
        <v>45953</v>
      </c>
      <c r="K21" s="106">
        <f>+F21</f>
        <v>104620.82191780822</v>
      </c>
      <c r="L21" s="125">
        <f>+K21/((1+$H$13)^((J21-$J$20)/$D$15))</f>
        <v>99999.999973346581</v>
      </c>
      <c r="M21" s="126">
        <f>+L21*((J21-$J$20)/D$15)</f>
        <v>8219.1780800010893</v>
      </c>
      <c r="O21" s="83">
        <f>+K21</f>
        <v>104620.82191780822</v>
      </c>
      <c r="P21" s="39">
        <f>+K21</f>
        <v>104620.82191780822</v>
      </c>
      <c r="Q21" s="39"/>
      <c r="R21" s="59"/>
    </row>
    <row r="22" spans="2:18" ht="18" customHeight="1" x14ac:dyDescent="0.25">
      <c r="B22" s="42"/>
      <c r="C22" s="42"/>
      <c r="D22" s="43">
        <f>SUM(D21:D21)</f>
        <v>100000</v>
      </c>
      <c r="E22" s="43">
        <f>SUM(E21:E21)</f>
        <v>4620.821917808219</v>
      </c>
      <c r="F22" s="43">
        <f>SUM(F21:F21)</f>
        <v>104620.82191780822</v>
      </c>
      <c r="G22" s="44"/>
      <c r="H22" s="45">
        <f>SUM(H21:H21)</f>
        <v>1</v>
      </c>
      <c r="I22" s="46"/>
      <c r="J22" s="47"/>
      <c r="K22" s="102"/>
      <c r="L22" s="127">
        <f>SUM(L21:L21)</f>
        <v>99999.999973346581</v>
      </c>
      <c r="M22" s="128">
        <f>SUM(M21:M21)</f>
        <v>8219.1780800010893</v>
      </c>
      <c r="Q22" s="39"/>
    </row>
    <row r="23" spans="2:18" ht="18" customHeight="1" x14ac:dyDescent="0.25">
      <c r="C23" s="51"/>
      <c r="D23" s="5"/>
      <c r="K23" s="52" t="s">
        <v>2</v>
      </c>
      <c r="L23" s="53"/>
      <c r="M23" s="54">
        <f>+M22/L22</f>
        <v>8.2191780821917818E-2</v>
      </c>
      <c r="Q23" s="55"/>
    </row>
    <row r="24" spans="2:18" ht="18" customHeight="1" x14ac:dyDescent="0.25">
      <c r="C24" s="51"/>
      <c r="D24" s="5"/>
      <c r="K24" s="52" t="s">
        <v>0</v>
      </c>
      <c r="L24" s="53"/>
      <c r="M24" s="57">
        <f>XIRR(K20:K21,J20:J21)</f>
        <v>0.73255575895309444</v>
      </c>
    </row>
    <row r="25" spans="2:18" ht="15" customHeight="1" x14ac:dyDescent="0.25">
      <c r="C25" s="56"/>
      <c r="D25" s="5"/>
      <c r="E25" s="23"/>
    </row>
    <row r="26" spans="2:18" ht="15" customHeight="1" x14ac:dyDescent="0.25">
      <c r="B26" s="174" t="s">
        <v>17</v>
      </c>
      <c r="C26" s="174"/>
      <c r="D26" s="174"/>
      <c r="E26" s="174"/>
      <c r="F26" s="174"/>
      <c r="G26" s="174"/>
      <c r="H26" s="174"/>
      <c r="I26" s="174"/>
      <c r="J26" s="174"/>
      <c r="K26" s="174"/>
      <c r="L26" s="174"/>
      <c r="M26" s="174"/>
    </row>
    <row r="27" spans="2:18" x14ac:dyDescent="0.25">
      <c r="B27" s="174"/>
      <c r="C27" s="174"/>
      <c r="D27" s="174"/>
      <c r="E27" s="174"/>
      <c r="F27" s="174"/>
      <c r="G27" s="174"/>
      <c r="H27" s="174"/>
      <c r="I27" s="174"/>
      <c r="J27" s="174"/>
      <c r="K27" s="174"/>
      <c r="L27" s="174"/>
      <c r="M27" s="174"/>
    </row>
    <row r="28" spans="2:18" x14ac:dyDescent="0.25">
      <c r="B28" s="174"/>
      <c r="C28" s="174"/>
      <c r="D28" s="174"/>
      <c r="E28" s="174"/>
      <c r="F28" s="174"/>
      <c r="G28" s="174"/>
      <c r="H28" s="174"/>
      <c r="I28" s="174"/>
      <c r="J28" s="174"/>
      <c r="K28" s="174"/>
      <c r="L28" s="174"/>
      <c r="M28" s="174"/>
    </row>
    <row r="29" spans="2:18" x14ac:dyDescent="0.25">
      <c r="B29" s="174"/>
      <c r="C29" s="174"/>
      <c r="D29" s="174"/>
      <c r="E29" s="174"/>
      <c r="F29" s="174"/>
      <c r="G29" s="174"/>
      <c r="H29" s="174"/>
      <c r="I29" s="174"/>
      <c r="J29" s="174"/>
      <c r="K29" s="174"/>
      <c r="L29" s="174"/>
      <c r="M29" s="174"/>
    </row>
    <row r="30" spans="2:18" ht="15" customHeight="1" x14ac:dyDescent="0.25">
      <c r="B30" s="174" t="s">
        <v>18</v>
      </c>
      <c r="C30" s="174"/>
      <c r="D30" s="174"/>
      <c r="E30" s="174"/>
      <c r="F30" s="174"/>
      <c r="G30" s="174"/>
      <c r="H30" s="174"/>
      <c r="I30" s="174"/>
      <c r="J30" s="174"/>
      <c r="K30" s="174"/>
      <c r="L30" s="174"/>
      <c r="M30" s="174"/>
    </row>
    <row r="31" spans="2:18" x14ac:dyDescent="0.25">
      <c r="B31" s="174"/>
      <c r="C31" s="174"/>
      <c r="D31" s="174"/>
      <c r="E31" s="174"/>
      <c r="F31" s="174"/>
      <c r="G31" s="174"/>
      <c r="H31" s="174"/>
      <c r="I31" s="174"/>
      <c r="J31" s="174"/>
      <c r="K31" s="174"/>
      <c r="L31" s="174"/>
      <c r="M31" s="174"/>
    </row>
    <row r="32" spans="2:18" x14ac:dyDescent="0.25">
      <c r="B32" s="174"/>
      <c r="C32" s="174"/>
      <c r="D32" s="174"/>
      <c r="E32" s="174"/>
      <c r="F32" s="174"/>
      <c r="G32" s="174"/>
      <c r="H32" s="174"/>
      <c r="I32" s="174"/>
      <c r="J32" s="174"/>
      <c r="K32" s="174"/>
      <c r="L32" s="174"/>
      <c r="M32" s="174"/>
    </row>
    <row r="33" spans="2:13" x14ac:dyDescent="0.25">
      <c r="B33" s="174"/>
      <c r="C33" s="174"/>
      <c r="D33" s="174"/>
      <c r="E33" s="174"/>
      <c r="F33" s="174"/>
      <c r="G33" s="174"/>
      <c r="H33" s="174"/>
      <c r="I33" s="174"/>
      <c r="J33" s="174"/>
      <c r="K33" s="174"/>
      <c r="L33" s="174"/>
      <c r="M33" s="174"/>
    </row>
    <row r="34" spans="2:13" x14ac:dyDescent="0.25">
      <c r="B34" s="174"/>
      <c r="C34" s="174"/>
      <c r="D34" s="174"/>
      <c r="E34" s="174"/>
      <c r="F34" s="174"/>
      <c r="G34" s="174"/>
      <c r="H34" s="174"/>
      <c r="I34" s="174"/>
      <c r="J34" s="174"/>
      <c r="K34" s="174"/>
      <c r="L34" s="174"/>
      <c r="M34" s="174"/>
    </row>
    <row r="35" spans="2:13" x14ac:dyDescent="0.25">
      <c r="B35" s="174"/>
      <c r="C35" s="174"/>
      <c r="D35" s="174"/>
      <c r="E35" s="174"/>
      <c r="F35" s="174"/>
      <c r="G35" s="174"/>
      <c r="H35" s="174"/>
      <c r="I35" s="174"/>
      <c r="J35" s="174"/>
      <c r="K35" s="174"/>
      <c r="L35" s="174"/>
      <c r="M35" s="174"/>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7">
    <mergeCell ref="B30:M35"/>
    <mergeCell ref="O7:S12"/>
    <mergeCell ref="B19:H19"/>
    <mergeCell ref="J19:M19"/>
    <mergeCell ref="B12:C12"/>
    <mergeCell ref="B26:M29"/>
    <mergeCell ref="G9:J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552B-38D9-4A18-AF4E-B33D5A66DA6B}">
  <dimension ref="A1:S250"/>
  <sheetViews>
    <sheetView showGridLines="0" topLeftCell="A3" zoomScale="90" zoomScaleNormal="90" workbookViewId="0">
      <selection activeCell="D12" sqref="D12"/>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8.5703125"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35">
      <c r="E9" s="65"/>
      <c r="F9" s="65"/>
      <c r="G9" s="66"/>
      <c r="L9" s="65"/>
      <c r="M9" s="65"/>
      <c r="O9" s="177"/>
      <c r="P9" s="177"/>
      <c r="Q9" s="177"/>
      <c r="R9" s="177"/>
      <c r="S9" s="177"/>
    </row>
    <row r="10" spans="2:19" ht="21" x14ac:dyDescent="0.35">
      <c r="E10" s="65"/>
      <c r="G10" s="66"/>
      <c r="J10" s="129" t="s">
        <v>47</v>
      </c>
      <c r="L10" s="65"/>
      <c r="M10" s="65"/>
      <c r="O10" s="177"/>
      <c r="P10" s="177"/>
      <c r="Q10" s="177"/>
      <c r="R10" s="177"/>
      <c r="S10" s="177"/>
    </row>
    <row r="11" spans="2:19" ht="14.25" customHeight="1" x14ac:dyDescent="0.35">
      <c r="E11" s="65"/>
      <c r="F11" s="65"/>
      <c r="G11" s="69"/>
      <c r="H11" s="69"/>
      <c r="I11" s="69"/>
      <c r="J11" s="69"/>
      <c r="L11" s="65"/>
      <c r="M11" s="65"/>
      <c r="O11" s="177"/>
      <c r="P11" s="177"/>
      <c r="Q11" s="177"/>
      <c r="R11" s="177"/>
      <c r="S11" s="177"/>
    </row>
    <row r="12" spans="2:19" ht="18" customHeight="1" x14ac:dyDescent="0.25">
      <c r="B12" s="181" t="str">
        <f>+B21</f>
        <v>Letras del Tesoro Clase 2</v>
      </c>
      <c r="C12" s="182"/>
      <c r="D12" s="72">
        <v>10000</v>
      </c>
      <c r="E12" s="6"/>
      <c r="I12" s="58"/>
      <c r="J12" s="58"/>
      <c r="K12" s="58"/>
      <c r="L12" s="58"/>
      <c r="M12" s="58"/>
      <c r="O12" s="177"/>
      <c r="P12" s="177"/>
      <c r="Q12" s="177"/>
      <c r="R12" s="177"/>
      <c r="S12" s="177"/>
    </row>
    <row r="13" spans="2:19" ht="18" customHeight="1" x14ac:dyDescent="0.25">
      <c r="B13" s="15" t="s">
        <v>40</v>
      </c>
      <c r="C13" s="16"/>
      <c r="D13" s="79">
        <f>+Resumen!N17</f>
        <v>5.5E-2</v>
      </c>
      <c r="E13" s="6"/>
      <c r="I13" s="58"/>
      <c r="J13" s="58"/>
      <c r="K13" s="58"/>
      <c r="L13" s="58"/>
      <c r="M13" s="58"/>
      <c r="O13" s="113"/>
      <c r="P13" s="113"/>
      <c r="Q13" s="113"/>
      <c r="R13" s="113"/>
      <c r="S13" s="113"/>
    </row>
    <row r="14" spans="2:19" ht="18" customHeight="1" x14ac:dyDescent="0.25">
      <c r="B14" s="15" t="s">
        <v>48</v>
      </c>
      <c r="C14" s="16"/>
      <c r="D14" s="170">
        <f>+Resumen!N24</f>
        <v>0.45124999999999998</v>
      </c>
      <c r="E14" s="6"/>
      <c r="I14" s="58"/>
      <c r="J14" s="58"/>
      <c r="K14" s="58"/>
      <c r="L14" s="58"/>
      <c r="M14" s="58"/>
      <c r="O14" s="113"/>
      <c r="P14" s="113"/>
      <c r="Q14" s="113"/>
      <c r="R14" s="113"/>
      <c r="S14" s="113"/>
    </row>
    <row r="15" spans="2:19" ht="15" customHeight="1" x14ac:dyDescent="0.25">
      <c r="B15" s="15" t="s">
        <v>15</v>
      </c>
      <c r="C15" s="16"/>
      <c r="D15" s="79">
        <f>+D13+D14</f>
        <v>0.50624999999999998</v>
      </c>
      <c r="E15" s="6"/>
      <c r="F15" s="10" t="s">
        <v>0</v>
      </c>
      <c r="G15" s="11"/>
      <c r="H15" s="12">
        <f>M26</f>
        <v>0.64214106202125554</v>
      </c>
      <c r="J15" s="184"/>
      <c r="K15" s="184"/>
      <c r="L15" s="184"/>
      <c r="M15" s="184"/>
    </row>
    <row r="16" spans="2:19" ht="15" customHeight="1" x14ac:dyDescent="0.25">
      <c r="B16" s="15" t="s">
        <v>25</v>
      </c>
      <c r="C16" s="16"/>
      <c r="D16" s="80">
        <v>1</v>
      </c>
      <c r="E16" s="6"/>
      <c r="F16" s="18" t="s">
        <v>12</v>
      </c>
      <c r="G16" s="19"/>
      <c r="H16" s="20">
        <f>+((1+H15)^(D17/D18)-1)/D17*D18</f>
        <v>0.50625000097595685</v>
      </c>
      <c r="J16" s="62"/>
      <c r="K16" s="58"/>
      <c r="L16" s="8"/>
    </row>
    <row r="17" spans="1:18" ht="15" customHeight="1" x14ac:dyDescent="0.25">
      <c r="B17" s="15" t="s">
        <v>20</v>
      </c>
      <c r="C17" s="16"/>
      <c r="D17" s="63">
        <f>+Resumen!N15</f>
        <v>30</v>
      </c>
      <c r="E17" s="6"/>
      <c r="F17" s="21" t="s">
        <v>2</v>
      </c>
      <c r="G17" s="6"/>
      <c r="H17" s="22">
        <f>+M25</f>
        <v>8.2191780821917804E-2</v>
      </c>
      <c r="J17" s="62"/>
      <c r="K17" s="58"/>
      <c r="L17" s="8"/>
    </row>
    <row r="18" spans="1:18" ht="15" customHeight="1" x14ac:dyDescent="0.25">
      <c r="B18" s="15" t="s">
        <v>1</v>
      </c>
      <c r="C18" s="16"/>
      <c r="D18" s="17">
        <v>365</v>
      </c>
      <c r="E18" s="9"/>
      <c r="F18" s="21" t="s">
        <v>3</v>
      </c>
      <c r="G18" s="6"/>
      <c r="H18" s="22">
        <f>+H17*12</f>
        <v>0.98630136986301364</v>
      </c>
      <c r="I18" s="7"/>
      <c r="J18" s="62"/>
      <c r="K18" s="58"/>
      <c r="L18" s="13"/>
      <c r="M18" s="14"/>
    </row>
    <row r="19" spans="1:18" ht="15" customHeight="1" x14ac:dyDescent="0.25">
      <c r="B19" s="73" t="s">
        <v>14</v>
      </c>
      <c r="C19" s="24"/>
      <c r="D19" s="74">
        <f>+Resumen!N13</f>
        <v>45923</v>
      </c>
      <c r="E19" s="9"/>
      <c r="F19" s="25" t="s">
        <v>11</v>
      </c>
      <c r="G19" s="26"/>
      <c r="H19" s="27">
        <f>H18/(1+H15)</f>
        <v>0.60061915061609195</v>
      </c>
      <c r="I19" s="7"/>
      <c r="J19" s="62"/>
      <c r="K19" s="58"/>
      <c r="L19" s="13"/>
      <c r="M19" s="14"/>
    </row>
    <row r="20" spans="1:18" ht="15" customHeight="1" x14ac:dyDescent="0.25">
      <c r="E20" s="9"/>
      <c r="I20" s="7"/>
      <c r="J20" s="64"/>
      <c r="K20" s="58"/>
      <c r="L20" s="13"/>
      <c r="M20" s="14"/>
    </row>
    <row r="21" spans="1:18" ht="18" customHeight="1" x14ac:dyDescent="0.25">
      <c r="B21" s="178" t="s">
        <v>30</v>
      </c>
      <c r="C21" s="179"/>
      <c r="D21" s="179"/>
      <c r="E21" s="179"/>
      <c r="F21" s="179"/>
      <c r="G21" s="179"/>
      <c r="H21" s="180"/>
      <c r="J21" s="178" t="s">
        <v>13</v>
      </c>
      <c r="K21" s="179"/>
      <c r="L21" s="179"/>
      <c r="M21" s="179"/>
    </row>
    <row r="22" spans="1:18" ht="30.75" customHeight="1" x14ac:dyDescent="0.25">
      <c r="B22" s="28" t="s">
        <v>4</v>
      </c>
      <c r="C22" s="29" t="s">
        <v>16</v>
      </c>
      <c r="D22" s="30" t="s">
        <v>5</v>
      </c>
      <c r="E22" s="30" t="s">
        <v>6</v>
      </c>
      <c r="F22" s="29" t="s">
        <v>7</v>
      </c>
      <c r="G22" s="30" t="s">
        <v>8</v>
      </c>
      <c r="H22" s="31" t="s">
        <v>9</v>
      </c>
      <c r="I22" s="32"/>
      <c r="J22" s="68">
        <f>+D19</f>
        <v>45923</v>
      </c>
      <c r="K22" s="77">
        <f>-D12*D16</f>
        <v>-10000</v>
      </c>
      <c r="L22" s="33" t="s">
        <v>10</v>
      </c>
      <c r="M22" s="34" t="s">
        <v>19</v>
      </c>
      <c r="O22" s="1">
        <v>0</v>
      </c>
    </row>
    <row r="23" spans="1:18" ht="18" customHeight="1" x14ac:dyDescent="0.25">
      <c r="A23" s="82">
        <v>60</v>
      </c>
      <c r="B23" s="111">
        <v>1</v>
      </c>
      <c r="C23" s="110">
        <f>+D19+D17</f>
        <v>45953</v>
      </c>
      <c r="D23" s="37">
        <f>+H23*$D$12</f>
        <v>10000</v>
      </c>
      <c r="E23" s="37">
        <f>D12*$D$15/$D$18*(C23-D19)</f>
        <v>416.09589041095893</v>
      </c>
      <c r="F23" s="37">
        <f>+E23+D23</f>
        <v>10416.095890410959</v>
      </c>
      <c r="G23" s="37">
        <f>+D12-D23</f>
        <v>0</v>
      </c>
      <c r="H23" s="112">
        <v>1</v>
      </c>
      <c r="I23" s="35"/>
      <c r="J23" s="36">
        <f>+WORKDAY(C23-1,1,Feriados!$A$2:$A$163)</f>
        <v>45953</v>
      </c>
      <c r="K23" s="78">
        <f>+F23</f>
        <v>10416.095890410959</v>
      </c>
      <c r="L23" s="37">
        <f>+K23/((1+$H$15)^((J23-$J$22)/$D$18))</f>
        <v>9999.999999229889</v>
      </c>
      <c r="M23" s="38">
        <f>+L23*((J23-$J$22)/D$18)</f>
        <v>821.91780815588129</v>
      </c>
      <c r="O23" s="39">
        <f>+K23</f>
        <v>10416.095890410959</v>
      </c>
      <c r="P23" s="39"/>
      <c r="Q23" s="39"/>
      <c r="R23" s="59"/>
    </row>
    <row r="24" spans="1:18" ht="18" customHeight="1" x14ac:dyDescent="0.25">
      <c r="B24" s="42"/>
      <c r="C24" s="42"/>
      <c r="D24" s="49">
        <f>SUM(D23:D23)</f>
        <v>10000</v>
      </c>
      <c r="E24" s="50">
        <f>SUM(E23:E23)</f>
        <v>416.09589041095893</v>
      </c>
      <c r="F24" s="49">
        <f>SUM(F23:F23)</f>
        <v>10416.095890410959</v>
      </c>
      <c r="G24" s="50"/>
      <c r="H24" s="49">
        <f>SUM(H23:H23)</f>
        <v>1</v>
      </c>
      <c r="I24" s="46"/>
      <c r="J24" s="47"/>
      <c r="K24" s="48"/>
      <c r="L24" s="49">
        <f>SUM(L23:L23)</f>
        <v>9999.999999229889</v>
      </c>
      <c r="M24" s="50">
        <f>SUM(M23:M23)</f>
        <v>821.91780815588129</v>
      </c>
      <c r="Q24" s="39"/>
    </row>
    <row r="25" spans="1:18" ht="18" customHeight="1" x14ac:dyDescent="0.25">
      <c r="C25" s="51"/>
      <c r="D25" s="5"/>
      <c r="K25" s="52" t="s">
        <v>2</v>
      </c>
      <c r="L25" s="53"/>
      <c r="M25" s="54">
        <f>+M24/L24</f>
        <v>8.2191780821917804E-2</v>
      </c>
      <c r="Q25" s="55"/>
    </row>
    <row r="26" spans="1:18" ht="18" customHeight="1" x14ac:dyDescent="0.25">
      <c r="C26" s="51"/>
      <c r="D26" s="5"/>
      <c r="K26" s="52" t="s">
        <v>0</v>
      </c>
      <c r="L26" s="53"/>
      <c r="M26" s="57">
        <f>XIRR(K22:K23,J22:J23)</f>
        <v>0.64214106202125554</v>
      </c>
    </row>
    <row r="27" spans="1:18" ht="15" customHeight="1" x14ac:dyDescent="0.25">
      <c r="C27" s="56"/>
      <c r="D27" s="5"/>
      <c r="E27" s="23"/>
    </row>
    <row r="28" spans="1:18" ht="15" customHeight="1" x14ac:dyDescent="0.25">
      <c r="B28" s="174" t="s">
        <v>17</v>
      </c>
      <c r="C28" s="174"/>
      <c r="D28" s="174"/>
      <c r="E28" s="174"/>
      <c r="F28" s="174"/>
      <c r="G28" s="174"/>
      <c r="H28" s="174"/>
      <c r="I28" s="174"/>
      <c r="J28" s="174"/>
      <c r="K28" s="174"/>
      <c r="L28" s="174"/>
      <c r="M28" s="174"/>
    </row>
    <row r="29" spans="1:18" x14ac:dyDescent="0.25">
      <c r="B29" s="174"/>
      <c r="C29" s="174"/>
      <c r="D29" s="174"/>
      <c r="E29" s="174"/>
      <c r="F29" s="174"/>
      <c r="G29" s="174"/>
      <c r="H29" s="174"/>
      <c r="I29" s="174"/>
      <c r="J29" s="174"/>
      <c r="K29" s="174"/>
      <c r="L29" s="174"/>
      <c r="M29" s="174"/>
    </row>
    <row r="30" spans="1:18" x14ac:dyDescent="0.25">
      <c r="B30" s="174"/>
      <c r="C30" s="174"/>
      <c r="D30" s="174"/>
      <c r="E30" s="174"/>
      <c r="F30" s="174"/>
      <c r="G30" s="174"/>
      <c r="H30" s="174"/>
      <c r="I30" s="174"/>
      <c r="J30" s="174"/>
      <c r="K30" s="174"/>
      <c r="L30" s="174"/>
      <c r="M30" s="174"/>
    </row>
    <row r="31" spans="1:18" x14ac:dyDescent="0.25">
      <c r="B31" s="174"/>
      <c r="C31" s="174"/>
      <c r="D31" s="174"/>
      <c r="E31" s="174"/>
      <c r="F31" s="174"/>
      <c r="G31" s="174"/>
      <c r="H31" s="174"/>
      <c r="I31" s="174"/>
      <c r="J31" s="174"/>
      <c r="K31" s="174"/>
      <c r="L31" s="174"/>
      <c r="M31" s="174"/>
    </row>
    <row r="32" spans="1:18" ht="15" customHeight="1" x14ac:dyDescent="0.25">
      <c r="B32" s="174" t="s">
        <v>18</v>
      </c>
      <c r="C32" s="174"/>
      <c r="D32" s="174"/>
      <c r="E32" s="174"/>
      <c r="F32" s="174"/>
      <c r="G32" s="174"/>
      <c r="H32" s="174"/>
      <c r="I32" s="174"/>
      <c r="J32" s="174"/>
      <c r="K32" s="174"/>
      <c r="L32" s="174"/>
      <c r="M32" s="174"/>
    </row>
    <row r="33" spans="2:13" x14ac:dyDescent="0.25">
      <c r="B33" s="174"/>
      <c r="C33" s="174"/>
      <c r="D33" s="174"/>
      <c r="E33" s="174"/>
      <c r="F33" s="174"/>
      <c r="G33" s="174"/>
      <c r="H33" s="174"/>
      <c r="I33" s="174"/>
      <c r="J33" s="174"/>
      <c r="K33" s="174"/>
      <c r="L33" s="174"/>
      <c r="M33" s="174"/>
    </row>
    <row r="34" spans="2:13" x14ac:dyDescent="0.25">
      <c r="B34" s="174"/>
      <c r="C34" s="174"/>
      <c r="D34" s="174"/>
      <c r="E34" s="174"/>
      <c r="F34" s="174"/>
      <c r="G34" s="174"/>
      <c r="H34" s="174"/>
      <c r="I34" s="174"/>
      <c r="J34" s="174"/>
      <c r="K34" s="174"/>
      <c r="L34" s="174"/>
      <c r="M34" s="174"/>
    </row>
    <row r="35" spans="2:13" x14ac:dyDescent="0.25">
      <c r="B35" s="174"/>
      <c r="C35" s="174"/>
      <c r="D35" s="174"/>
      <c r="E35" s="174"/>
      <c r="F35" s="174"/>
      <c r="G35" s="174"/>
      <c r="H35" s="174"/>
      <c r="I35" s="174"/>
      <c r="J35" s="174"/>
      <c r="K35" s="174"/>
      <c r="L35" s="174"/>
      <c r="M35" s="174"/>
    </row>
    <row r="36" spans="2:13" x14ac:dyDescent="0.25">
      <c r="B36" s="174"/>
      <c r="C36" s="174"/>
      <c r="D36" s="174"/>
      <c r="E36" s="174"/>
      <c r="F36" s="174"/>
      <c r="G36" s="174"/>
      <c r="H36" s="174"/>
      <c r="I36" s="174"/>
      <c r="J36" s="174"/>
      <c r="K36" s="174"/>
      <c r="L36" s="174"/>
      <c r="M36" s="174"/>
    </row>
    <row r="37" spans="2:13" x14ac:dyDescent="0.25">
      <c r="B37" s="174"/>
      <c r="C37" s="174"/>
      <c r="D37" s="174"/>
      <c r="E37" s="174"/>
      <c r="F37" s="174"/>
      <c r="G37" s="174"/>
      <c r="H37" s="174"/>
      <c r="I37" s="174"/>
      <c r="J37" s="174"/>
      <c r="K37" s="174"/>
      <c r="L37" s="174"/>
      <c r="M37" s="174"/>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7">
    <mergeCell ref="B32:M37"/>
    <mergeCell ref="O7:S12"/>
    <mergeCell ref="B12:C12"/>
    <mergeCell ref="B21:H21"/>
    <mergeCell ref="J21:M21"/>
    <mergeCell ref="B28:M31"/>
    <mergeCell ref="J15:M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A8B5-6F11-47F5-A77D-813A3B1AE692}">
  <dimension ref="A1:S253"/>
  <sheetViews>
    <sheetView showGridLines="0" topLeftCell="A6"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35">
      <c r="E9" s="65"/>
      <c r="F9" s="65"/>
      <c r="G9" s="66"/>
      <c r="L9" s="65"/>
      <c r="M9" s="65"/>
      <c r="O9" s="177"/>
      <c r="P9" s="177"/>
      <c r="Q9" s="177"/>
      <c r="R9" s="177"/>
      <c r="S9" s="177"/>
    </row>
    <row r="10" spans="2:19" ht="21" x14ac:dyDescent="0.35">
      <c r="E10" s="65"/>
      <c r="G10" s="66"/>
      <c r="L10" s="65"/>
      <c r="M10" s="65"/>
      <c r="O10" s="177"/>
      <c r="P10" s="177"/>
      <c r="Q10" s="177"/>
      <c r="R10" s="177"/>
      <c r="S10" s="177"/>
    </row>
    <row r="11" spans="2:19" ht="14.25" customHeight="1" x14ac:dyDescent="0.35">
      <c r="E11" s="65"/>
      <c r="F11" s="65"/>
      <c r="G11" s="69"/>
      <c r="H11" s="69"/>
      <c r="I11" s="69"/>
      <c r="L11" s="65"/>
      <c r="M11" s="65"/>
      <c r="O11" s="177"/>
      <c r="P11" s="177"/>
      <c r="Q11" s="177"/>
      <c r="R11" s="177"/>
      <c r="S11" s="177"/>
    </row>
    <row r="12" spans="2:19" ht="18" customHeight="1" x14ac:dyDescent="0.25">
      <c r="B12" s="185" t="str">
        <f>+B24</f>
        <v>Letras del Tesoro Clase 2</v>
      </c>
      <c r="C12" s="186"/>
      <c r="D12" s="187"/>
      <c r="E12" s="6"/>
      <c r="I12" s="58"/>
      <c r="J12" s="129" t="s">
        <v>59</v>
      </c>
      <c r="K12" s="58"/>
      <c r="L12" s="58"/>
      <c r="M12" s="58"/>
      <c r="O12" s="177"/>
      <c r="P12" s="177"/>
      <c r="Q12" s="177"/>
      <c r="R12" s="177"/>
      <c r="S12" s="177"/>
    </row>
    <row r="13" spans="2:19" ht="18" customHeight="1" x14ac:dyDescent="0.25">
      <c r="B13" s="130" t="s">
        <v>52</v>
      </c>
      <c r="C13" s="131"/>
      <c r="D13" s="132">
        <v>40111675</v>
      </c>
      <c r="E13" s="6"/>
      <c r="I13" s="58"/>
      <c r="J13" s="58"/>
      <c r="K13" s="58"/>
      <c r="L13" s="58"/>
      <c r="M13" s="58"/>
      <c r="O13" s="113"/>
      <c r="P13" s="113"/>
      <c r="Q13" s="113"/>
      <c r="R13" s="113"/>
      <c r="S13" s="113"/>
    </row>
    <row r="14" spans="2:19" ht="18" customHeight="1" x14ac:dyDescent="0.25">
      <c r="B14" s="133" t="s">
        <v>51</v>
      </c>
      <c r="C14" s="134"/>
      <c r="D14" s="135">
        <f>+Resumen!N30</f>
        <v>1</v>
      </c>
      <c r="E14" s="6"/>
      <c r="I14" s="58"/>
      <c r="J14" s="58"/>
      <c r="K14" s="58"/>
      <c r="L14" s="58"/>
      <c r="M14" s="58"/>
      <c r="O14" s="113"/>
      <c r="P14" s="113"/>
      <c r="Q14" s="113"/>
      <c r="R14" s="113"/>
      <c r="S14" s="113"/>
    </row>
    <row r="15" spans="2:19" ht="18" customHeight="1" x14ac:dyDescent="0.25">
      <c r="B15" s="136" t="s">
        <v>61</v>
      </c>
      <c r="C15" s="137"/>
      <c r="D15" s="138">
        <f>ROUNDDOWN(D13*D14,0)</f>
        <v>40111675</v>
      </c>
      <c r="E15" s="6"/>
      <c r="I15" s="58"/>
      <c r="J15" s="58"/>
      <c r="K15" s="58"/>
      <c r="L15" s="58"/>
      <c r="M15" s="58"/>
      <c r="O15" s="113"/>
      <c r="P15" s="113"/>
      <c r="Q15" s="113"/>
      <c r="R15" s="113"/>
      <c r="S15" s="113"/>
    </row>
    <row r="16" spans="2:19" ht="18" customHeight="1" x14ac:dyDescent="0.25">
      <c r="B16" s="15" t="s">
        <v>40</v>
      </c>
      <c r="C16" s="16"/>
      <c r="D16" s="79">
        <f>+Resumen!N31</f>
        <v>5.5E-2</v>
      </c>
      <c r="E16" s="6"/>
      <c r="I16" s="58"/>
      <c r="J16" s="185" t="s">
        <v>60</v>
      </c>
      <c r="K16" s="187"/>
      <c r="L16" s="58"/>
      <c r="M16" s="154"/>
      <c r="N16" s="154"/>
      <c r="O16" s="154"/>
      <c r="P16" s="154"/>
      <c r="Q16" s="5"/>
      <c r="R16" s="113"/>
      <c r="S16" s="113"/>
    </row>
    <row r="17" spans="1:19" ht="18" customHeight="1" x14ac:dyDescent="0.25">
      <c r="B17" s="15" t="s">
        <v>48</v>
      </c>
      <c r="C17" s="16"/>
      <c r="D17" s="80">
        <f>+Resumen!Q24</f>
        <v>0.45124999999999998</v>
      </c>
      <c r="E17" s="6"/>
      <c r="I17" s="58"/>
      <c r="J17" s="140" t="s">
        <v>54</v>
      </c>
      <c r="K17" s="141">
        <v>45863</v>
      </c>
      <c r="L17" s="58"/>
      <c r="M17" s="151"/>
      <c r="O17" s="152"/>
      <c r="Q17" s="149"/>
      <c r="R17" s="113"/>
      <c r="S17" s="113"/>
    </row>
    <row r="18" spans="1:19" ht="15" customHeight="1" x14ac:dyDescent="0.25">
      <c r="B18" s="15" t="s">
        <v>15</v>
      </c>
      <c r="C18" s="16"/>
      <c r="D18" s="79">
        <f>+D16+D17</f>
        <v>0.50624999999999998</v>
      </c>
      <c r="E18" s="6"/>
      <c r="F18" s="10" t="s">
        <v>0</v>
      </c>
      <c r="G18" s="11"/>
      <c r="H18" s="12">
        <f>M29</f>
        <v>0.64214106202125554</v>
      </c>
      <c r="J18" s="142" t="s">
        <v>15</v>
      </c>
      <c r="K18" s="143">
        <v>0.45500000000000002</v>
      </c>
      <c r="L18" s="139"/>
      <c r="M18" s="153"/>
    </row>
    <row r="19" spans="1:19" ht="15" customHeight="1" x14ac:dyDescent="0.25">
      <c r="B19" s="15" t="s">
        <v>25</v>
      </c>
      <c r="C19" s="16"/>
      <c r="D19" s="80">
        <v>1</v>
      </c>
      <c r="E19" s="6"/>
      <c r="F19" s="18" t="s">
        <v>12</v>
      </c>
      <c r="G19" s="19"/>
      <c r="H19" s="20">
        <f>+((1+H18)^(D20/D21)-1)/D20*D21</f>
        <v>0.50625000097595685</v>
      </c>
      <c r="J19" s="142" t="s">
        <v>55</v>
      </c>
      <c r="K19" s="144">
        <v>100</v>
      </c>
      <c r="L19" s="8"/>
      <c r="Q19" s="5"/>
    </row>
    <row r="20" spans="1:19" ht="15" customHeight="1" x14ac:dyDescent="0.25">
      <c r="B20" s="15" t="s">
        <v>20</v>
      </c>
      <c r="C20" s="16"/>
      <c r="D20" s="63">
        <f>+Resumen!N15</f>
        <v>30</v>
      </c>
      <c r="E20" s="6"/>
      <c r="F20" s="21" t="s">
        <v>2</v>
      </c>
      <c r="G20" s="6"/>
      <c r="H20" s="22">
        <f>+M28</f>
        <v>8.2191780821917804E-2</v>
      </c>
      <c r="J20" s="142" t="s">
        <v>56</v>
      </c>
      <c r="K20" s="145">
        <v>1</v>
      </c>
      <c r="L20" s="8"/>
      <c r="Q20" s="149"/>
    </row>
    <row r="21" spans="1:19" ht="15" customHeight="1" x14ac:dyDescent="0.25">
      <c r="B21" s="15" t="s">
        <v>1</v>
      </c>
      <c r="C21" s="16"/>
      <c r="D21" s="17">
        <v>365</v>
      </c>
      <c r="E21" s="9"/>
      <c r="F21" s="21" t="s">
        <v>3</v>
      </c>
      <c r="G21" s="6"/>
      <c r="H21" s="22">
        <f>+H20*12</f>
        <v>0.98630136986301364</v>
      </c>
      <c r="I21" s="7"/>
      <c r="J21" s="142" t="s">
        <v>57</v>
      </c>
      <c r="K21" s="146">
        <f>+(K19*K20)*K18/365*(D22-K17)</f>
        <v>7.4794520547945202</v>
      </c>
      <c r="L21" s="13"/>
      <c r="M21" s="150"/>
    </row>
    <row r="22" spans="1:19" ht="15" customHeight="1" x14ac:dyDescent="0.25">
      <c r="B22" s="73" t="s">
        <v>14</v>
      </c>
      <c r="C22" s="24"/>
      <c r="D22" s="74">
        <f>+Resumen!N13</f>
        <v>45923</v>
      </c>
      <c r="E22" s="9"/>
      <c r="F22" s="25" t="s">
        <v>11</v>
      </c>
      <c r="G22" s="26"/>
      <c r="H22" s="27">
        <f>H21/(1+H18)</f>
        <v>0.60061915061609195</v>
      </c>
      <c r="I22" s="7"/>
      <c r="J22" s="147" t="s">
        <v>58</v>
      </c>
      <c r="K22" s="148">
        <f>TRUNC(+((K20*K19)+K21)/K19,6)</f>
        <v>1.074794</v>
      </c>
      <c r="L22" s="1" t="s">
        <v>63</v>
      </c>
      <c r="M22" s="150"/>
    </row>
    <row r="23" spans="1:19" ht="15" customHeight="1" x14ac:dyDescent="0.25">
      <c r="E23" s="9"/>
      <c r="I23" s="7"/>
      <c r="J23" s="64"/>
      <c r="K23" s="58"/>
      <c r="L23" s="13"/>
      <c r="M23" s="14"/>
    </row>
    <row r="24" spans="1:19" ht="18" customHeight="1" x14ac:dyDescent="0.25">
      <c r="B24" s="178" t="s">
        <v>30</v>
      </c>
      <c r="C24" s="179"/>
      <c r="D24" s="179"/>
      <c r="E24" s="179"/>
      <c r="F24" s="179"/>
      <c r="G24" s="179"/>
      <c r="H24" s="180"/>
      <c r="J24" s="178" t="s">
        <v>13</v>
      </c>
      <c r="K24" s="179"/>
      <c r="L24" s="179"/>
      <c r="M24" s="179"/>
    </row>
    <row r="25" spans="1:19" ht="30.75" customHeight="1" x14ac:dyDescent="0.25">
      <c r="B25" s="28" t="s">
        <v>4</v>
      </c>
      <c r="C25" s="29" t="s">
        <v>16</v>
      </c>
      <c r="D25" s="30" t="s">
        <v>5</v>
      </c>
      <c r="E25" s="30" t="s">
        <v>6</v>
      </c>
      <c r="F25" s="29" t="s">
        <v>7</v>
      </c>
      <c r="G25" s="30" t="s">
        <v>8</v>
      </c>
      <c r="H25" s="31" t="s">
        <v>9</v>
      </c>
      <c r="I25" s="32"/>
      <c r="J25" s="68">
        <f>+D22</f>
        <v>45923</v>
      </c>
      <c r="K25" s="77">
        <f>-D13*1</f>
        <v>-40111675</v>
      </c>
      <c r="L25" s="33" t="s">
        <v>10</v>
      </c>
      <c r="M25" s="34" t="s">
        <v>19</v>
      </c>
      <c r="O25" s="1">
        <v>0</v>
      </c>
    </row>
    <row r="26" spans="1:19" ht="18" customHeight="1" x14ac:dyDescent="0.25">
      <c r="A26" s="82">
        <v>60</v>
      </c>
      <c r="B26" s="111">
        <v>1</v>
      </c>
      <c r="C26" s="110">
        <f>+D22+D20</f>
        <v>45953</v>
      </c>
      <c r="D26" s="37">
        <f>+H26*$D$15</f>
        <v>40111675</v>
      </c>
      <c r="E26" s="37">
        <f>D15*$D$18/$D$21*(C26-D22)</f>
        <v>1669030.3125</v>
      </c>
      <c r="F26" s="37">
        <f>+E26+D26</f>
        <v>41780705.3125</v>
      </c>
      <c r="G26" s="37">
        <f>+D15-D26</f>
        <v>0</v>
      </c>
      <c r="H26" s="112">
        <v>1</v>
      </c>
      <c r="I26" s="35"/>
      <c r="J26" s="36">
        <f>+WORKDAY(C26-1,1,Feriados!$A$2:$A$163)</f>
        <v>45953</v>
      </c>
      <c r="K26" s="78">
        <f>+F26</f>
        <v>41780705.3125</v>
      </c>
      <c r="L26" s="37">
        <f>+K26/((1+$H$18)^((J26-$J$25)/$D$21))</f>
        <v>40111674.996910952</v>
      </c>
      <c r="M26" s="38">
        <f>+L26*((J26-$J$25)/D$21)</f>
        <v>3296849.9997461056</v>
      </c>
      <c r="O26" s="39">
        <f>+K26</f>
        <v>41780705.3125</v>
      </c>
      <c r="P26" s="39"/>
      <c r="Q26" s="39"/>
      <c r="R26" s="59"/>
    </row>
    <row r="27" spans="1:19" ht="18" customHeight="1" x14ac:dyDescent="0.25">
      <c r="B27" s="42"/>
      <c r="C27" s="42"/>
      <c r="D27" s="49">
        <f>SUM(D26:D26)</f>
        <v>40111675</v>
      </c>
      <c r="E27" s="50">
        <f>SUM(E26:E26)</f>
        <v>1669030.3125</v>
      </c>
      <c r="F27" s="49">
        <f>SUM(F26:F26)</f>
        <v>41780705.3125</v>
      </c>
      <c r="G27" s="50"/>
      <c r="H27" s="49">
        <f>SUM(H26:H26)</f>
        <v>1</v>
      </c>
      <c r="I27" s="46"/>
      <c r="J27" s="47"/>
      <c r="K27" s="48"/>
      <c r="L27" s="49">
        <f>SUM(L26:L26)</f>
        <v>40111674.996910952</v>
      </c>
      <c r="M27" s="50">
        <f>SUM(M26:M26)</f>
        <v>3296849.9997461056</v>
      </c>
      <c r="Q27" s="39"/>
    </row>
    <row r="28" spans="1:19" ht="18" customHeight="1" x14ac:dyDescent="0.25">
      <c r="C28" s="51"/>
      <c r="D28" s="5"/>
      <c r="K28" s="52" t="s">
        <v>2</v>
      </c>
      <c r="L28" s="53"/>
      <c r="M28" s="54">
        <f>+M27/L27</f>
        <v>8.2191780821917804E-2</v>
      </c>
      <c r="Q28" s="55"/>
    </row>
    <row r="29" spans="1:19" ht="18" customHeight="1" x14ac:dyDescent="0.25">
      <c r="C29" s="51"/>
      <c r="D29" s="5"/>
      <c r="K29" s="52" t="s">
        <v>0</v>
      </c>
      <c r="L29" s="53"/>
      <c r="M29" s="57">
        <f>XIRR(K25:K26,J25:J26)</f>
        <v>0.64214106202125554</v>
      </c>
    </row>
    <row r="30" spans="1:19" ht="15" customHeight="1" x14ac:dyDescent="0.25">
      <c r="C30" s="56"/>
      <c r="D30" s="5"/>
      <c r="E30" s="23"/>
    </row>
    <row r="31" spans="1:19" ht="15" customHeight="1" x14ac:dyDescent="0.25">
      <c r="B31" s="174" t="s">
        <v>17</v>
      </c>
      <c r="C31" s="174"/>
      <c r="D31" s="174"/>
      <c r="E31" s="174"/>
      <c r="F31" s="174"/>
      <c r="G31" s="174"/>
      <c r="H31" s="174"/>
      <c r="I31" s="174"/>
      <c r="J31" s="174"/>
      <c r="K31" s="174"/>
      <c r="L31" s="174"/>
      <c r="M31" s="174"/>
    </row>
    <row r="32" spans="1:19" x14ac:dyDescent="0.25">
      <c r="B32" s="174"/>
      <c r="C32" s="174"/>
      <c r="D32" s="174"/>
      <c r="E32" s="174"/>
      <c r="F32" s="174"/>
      <c r="G32" s="174"/>
      <c r="H32" s="174"/>
      <c r="I32" s="174"/>
      <c r="J32" s="174"/>
      <c r="K32" s="174"/>
      <c r="L32" s="174"/>
      <c r="M32" s="174"/>
    </row>
    <row r="33" spans="2:13" x14ac:dyDescent="0.25">
      <c r="B33" s="174"/>
      <c r="C33" s="174"/>
      <c r="D33" s="174"/>
      <c r="E33" s="174"/>
      <c r="F33" s="174"/>
      <c r="G33" s="174"/>
      <c r="H33" s="174"/>
      <c r="I33" s="174"/>
      <c r="J33" s="174"/>
      <c r="K33" s="174"/>
      <c r="L33" s="174"/>
      <c r="M33" s="174"/>
    </row>
    <row r="34" spans="2:13" x14ac:dyDescent="0.25">
      <c r="B34" s="174"/>
      <c r="C34" s="174"/>
      <c r="D34" s="174"/>
      <c r="E34" s="174"/>
      <c r="F34" s="174"/>
      <c r="G34" s="174"/>
      <c r="H34" s="174"/>
      <c r="I34" s="174"/>
      <c r="J34" s="174"/>
      <c r="K34" s="174"/>
      <c r="L34" s="174"/>
      <c r="M34" s="174"/>
    </row>
    <row r="35" spans="2:13" ht="15" customHeight="1" x14ac:dyDescent="0.25">
      <c r="B35" s="174" t="s">
        <v>18</v>
      </c>
      <c r="C35" s="174"/>
      <c r="D35" s="174"/>
      <c r="E35" s="174"/>
      <c r="F35" s="174"/>
      <c r="G35" s="174"/>
      <c r="H35" s="174"/>
      <c r="I35" s="174"/>
      <c r="J35" s="174"/>
      <c r="K35" s="174"/>
      <c r="L35" s="174"/>
      <c r="M35" s="174"/>
    </row>
    <row r="36" spans="2:13" x14ac:dyDescent="0.25">
      <c r="B36" s="174"/>
      <c r="C36" s="174"/>
      <c r="D36" s="174"/>
      <c r="E36" s="174"/>
      <c r="F36" s="174"/>
      <c r="G36" s="174"/>
      <c r="H36" s="174"/>
      <c r="I36" s="174"/>
      <c r="J36" s="174"/>
      <c r="K36" s="174"/>
      <c r="L36" s="174"/>
      <c r="M36" s="174"/>
    </row>
    <row r="37" spans="2:13" x14ac:dyDescent="0.25">
      <c r="B37" s="174"/>
      <c r="C37" s="174"/>
      <c r="D37" s="174"/>
      <c r="E37" s="174"/>
      <c r="F37" s="174"/>
      <c r="G37" s="174"/>
      <c r="H37" s="174"/>
      <c r="I37" s="174"/>
      <c r="J37" s="174"/>
      <c r="K37" s="174"/>
      <c r="L37" s="174"/>
      <c r="M37" s="174"/>
    </row>
    <row r="38" spans="2:13" x14ac:dyDescent="0.25">
      <c r="B38" s="174"/>
      <c r="C38" s="174"/>
      <c r="D38" s="174"/>
      <c r="E38" s="174"/>
      <c r="F38" s="174"/>
      <c r="G38" s="174"/>
      <c r="H38" s="174"/>
      <c r="I38" s="174"/>
      <c r="J38" s="174"/>
      <c r="K38" s="174"/>
      <c r="L38" s="174"/>
      <c r="M38" s="174"/>
    </row>
    <row r="39" spans="2:13" x14ac:dyDescent="0.25">
      <c r="B39" s="174"/>
      <c r="C39" s="174"/>
      <c r="D39" s="174"/>
      <c r="E39" s="174"/>
      <c r="F39" s="174"/>
      <c r="G39" s="174"/>
      <c r="H39" s="174"/>
      <c r="I39" s="174"/>
      <c r="J39" s="174"/>
      <c r="K39" s="174"/>
      <c r="L39" s="174"/>
      <c r="M39" s="174"/>
    </row>
    <row r="40" spans="2:13" x14ac:dyDescent="0.25">
      <c r="B40" s="174"/>
      <c r="C40" s="174"/>
      <c r="D40" s="174"/>
      <c r="E40" s="174"/>
      <c r="F40" s="174"/>
      <c r="G40" s="174"/>
      <c r="H40" s="174"/>
      <c r="I40" s="174"/>
      <c r="J40" s="174"/>
      <c r="K40" s="174"/>
      <c r="L40" s="174"/>
      <c r="M40" s="174"/>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O7:S12"/>
    <mergeCell ref="B12:D12"/>
    <mergeCell ref="J16:K16"/>
    <mergeCell ref="B24:H24"/>
    <mergeCell ref="J24:M24"/>
    <mergeCell ref="B31:M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8488-B083-4117-931F-C98A46BBF166}">
  <dimension ref="A1:S250"/>
  <sheetViews>
    <sheetView showGridLines="0" topLeftCell="A4" zoomScale="90" zoomScaleNormal="90" workbookViewId="0">
      <selection activeCell="D12" sqref="D12"/>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35">
      <c r="E9" s="65"/>
      <c r="F9" s="65"/>
      <c r="G9" s="66"/>
      <c r="L9" s="65"/>
      <c r="M9" s="65"/>
      <c r="O9" s="177"/>
      <c r="P9" s="177"/>
      <c r="Q9" s="177"/>
      <c r="R9" s="177"/>
      <c r="S9" s="177"/>
    </row>
    <row r="10" spans="2:19" ht="21" x14ac:dyDescent="0.35">
      <c r="E10" s="65"/>
      <c r="G10" s="66"/>
      <c r="J10" s="129" t="s">
        <v>47</v>
      </c>
      <c r="L10" s="65"/>
      <c r="M10" s="65"/>
      <c r="O10" s="177"/>
      <c r="P10" s="177"/>
      <c r="Q10" s="177"/>
      <c r="R10" s="177"/>
      <c r="S10" s="177"/>
    </row>
    <row r="11" spans="2:19" ht="14.25" customHeight="1" x14ac:dyDescent="0.35">
      <c r="E11" s="65"/>
      <c r="F11" s="65"/>
      <c r="G11" s="69"/>
      <c r="H11" s="69"/>
      <c r="I11" s="69"/>
      <c r="J11" s="69"/>
      <c r="L11" s="65"/>
      <c r="M11" s="65"/>
      <c r="O11" s="177"/>
      <c r="P11" s="177"/>
      <c r="Q11" s="177"/>
      <c r="R11" s="177"/>
      <c r="S11" s="177"/>
    </row>
    <row r="12" spans="2:19" ht="18" customHeight="1" x14ac:dyDescent="0.25">
      <c r="B12" s="181" t="str">
        <f>+B21</f>
        <v>Letras del Tesoro Clase 3</v>
      </c>
      <c r="C12" s="182"/>
      <c r="D12" s="72">
        <v>10000</v>
      </c>
      <c r="E12" s="6"/>
      <c r="I12" s="58"/>
      <c r="J12" s="58"/>
      <c r="K12" s="58"/>
      <c r="L12" s="58"/>
      <c r="M12" s="58"/>
      <c r="O12" s="177"/>
      <c r="P12" s="177"/>
      <c r="Q12" s="177"/>
      <c r="R12" s="177"/>
      <c r="S12" s="177"/>
    </row>
    <row r="13" spans="2:19" ht="18" customHeight="1" x14ac:dyDescent="0.25">
      <c r="B13" s="15" t="s">
        <v>40</v>
      </c>
      <c r="C13" s="16"/>
      <c r="D13" s="79">
        <f>+Resumen!Q17</f>
        <v>5.5E-2</v>
      </c>
      <c r="E13" s="6"/>
      <c r="I13" s="58"/>
      <c r="J13" s="58"/>
      <c r="K13" s="58"/>
      <c r="L13" s="58"/>
      <c r="M13" s="58"/>
      <c r="O13" s="113"/>
      <c r="P13" s="113"/>
      <c r="Q13" s="113"/>
      <c r="R13" s="113"/>
      <c r="S13" s="113"/>
    </row>
    <row r="14" spans="2:19" ht="18" customHeight="1" x14ac:dyDescent="0.25">
      <c r="B14" s="15" t="s">
        <v>48</v>
      </c>
      <c r="C14" s="16"/>
      <c r="D14" s="170">
        <f>+Resumen!Q24</f>
        <v>0.45124999999999998</v>
      </c>
      <c r="E14" s="6"/>
      <c r="I14" s="58"/>
      <c r="J14" s="58"/>
      <c r="K14" s="58"/>
      <c r="L14" s="58"/>
      <c r="M14" s="58"/>
      <c r="O14" s="113"/>
      <c r="P14" s="113"/>
      <c r="Q14" s="113"/>
      <c r="R14" s="113"/>
      <c r="S14" s="113"/>
    </row>
    <row r="15" spans="2:19" ht="15" customHeight="1" x14ac:dyDescent="0.25">
      <c r="B15" s="15" t="s">
        <v>15</v>
      </c>
      <c r="C15" s="16"/>
      <c r="D15" s="79">
        <f>+D13+D14</f>
        <v>0.50624999999999998</v>
      </c>
      <c r="E15" s="6"/>
      <c r="F15" s="10" t="s">
        <v>0</v>
      </c>
      <c r="G15" s="11"/>
      <c r="H15" s="12">
        <f>M26</f>
        <v>0.62472962737083448</v>
      </c>
      <c r="J15" s="184"/>
      <c r="K15" s="184"/>
      <c r="L15" s="184"/>
      <c r="M15" s="184"/>
    </row>
    <row r="16" spans="2:19" ht="15" customHeight="1" x14ac:dyDescent="0.25">
      <c r="B16" s="15" t="s">
        <v>25</v>
      </c>
      <c r="C16" s="16"/>
      <c r="D16" s="80">
        <v>1</v>
      </c>
      <c r="E16" s="6"/>
      <c r="F16" s="18" t="s">
        <v>12</v>
      </c>
      <c r="G16" s="19"/>
      <c r="H16" s="20">
        <f>+((1+H15)^(D17/D18)-1)/D17*D18</f>
        <v>0.50590886967658277</v>
      </c>
      <c r="J16" s="62"/>
      <c r="K16" s="58"/>
      <c r="L16" s="8"/>
    </row>
    <row r="17" spans="1:18" ht="15" customHeight="1" x14ac:dyDescent="0.25">
      <c r="B17" s="15" t="s">
        <v>20</v>
      </c>
      <c r="C17" s="16"/>
      <c r="D17" s="63">
        <f>+Resumen!Q15</f>
        <v>62</v>
      </c>
      <c r="E17" s="6"/>
      <c r="F17" s="21" t="s">
        <v>2</v>
      </c>
      <c r="G17" s="6"/>
      <c r="H17" s="22">
        <f>+M25</f>
        <v>0.17260273972602741</v>
      </c>
      <c r="J17" s="62"/>
      <c r="K17" s="58"/>
      <c r="L17" s="8"/>
    </row>
    <row r="18" spans="1:18" ht="15" customHeight="1" x14ac:dyDescent="0.25">
      <c r="B18" s="15" t="s">
        <v>1</v>
      </c>
      <c r="C18" s="16"/>
      <c r="D18" s="17">
        <v>365</v>
      </c>
      <c r="E18" s="9"/>
      <c r="F18" s="21" t="s">
        <v>3</v>
      </c>
      <c r="G18" s="6"/>
      <c r="H18" s="22">
        <f>+H17*12</f>
        <v>2.0712328767123287</v>
      </c>
      <c r="I18" s="7"/>
      <c r="J18" s="62"/>
      <c r="K18" s="58"/>
      <c r="L18" s="13"/>
      <c r="M18" s="14"/>
    </row>
    <row r="19" spans="1:18" ht="15" customHeight="1" x14ac:dyDescent="0.25">
      <c r="B19" s="73" t="s">
        <v>14</v>
      </c>
      <c r="C19" s="24"/>
      <c r="D19" s="74">
        <f>+Resumen!N13</f>
        <v>45923</v>
      </c>
      <c r="E19" s="9"/>
      <c r="F19" s="25" t="s">
        <v>11</v>
      </c>
      <c r="G19" s="26"/>
      <c r="H19" s="27">
        <f>H18/(1+H15)</f>
        <v>1.2748169552764501</v>
      </c>
      <c r="I19" s="7"/>
      <c r="J19" s="62"/>
      <c r="K19" s="58"/>
      <c r="L19" s="13"/>
      <c r="M19" s="14"/>
    </row>
    <row r="20" spans="1:18" ht="15" customHeight="1" x14ac:dyDescent="0.25">
      <c r="E20" s="9"/>
      <c r="I20" s="7"/>
      <c r="J20" s="64"/>
      <c r="K20" s="58"/>
      <c r="L20" s="13"/>
      <c r="M20" s="14"/>
    </row>
    <row r="21" spans="1:18" ht="18" customHeight="1" x14ac:dyDescent="0.25">
      <c r="B21" s="178" t="s">
        <v>49</v>
      </c>
      <c r="C21" s="179"/>
      <c r="D21" s="179"/>
      <c r="E21" s="179"/>
      <c r="F21" s="179"/>
      <c r="G21" s="179"/>
      <c r="H21" s="180"/>
      <c r="J21" s="178" t="s">
        <v>13</v>
      </c>
      <c r="K21" s="179"/>
      <c r="L21" s="179"/>
      <c r="M21" s="179"/>
    </row>
    <row r="22" spans="1:18" ht="30.75" customHeight="1" x14ac:dyDescent="0.25">
      <c r="B22" s="28" t="s">
        <v>4</v>
      </c>
      <c r="C22" s="29" t="s">
        <v>16</v>
      </c>
      <c r="D22" s="30" t="s">
        <v>5</v>
      </c>
      <c r="E22" s="30" t="s">
        <v>6</v>
      </c>
      <c r="F22" s="29" t="s">
        <v>7</v>
      </c>
      <c r="G22" s="30" t="s">
        <v>8</v>
      </c>
      <c r="H22" s="31" t="s">
        <v>9</v>
      </c>
      <c r="I22" s="32"/>
      <c r="J22" s="68">
        <f>+D19</f>
        <v>45923</v>
      </c>
      <c r="K22" s="77">
        <f>-D12*D16</f>
        <v>-10000</v>
      </c>
      <c r="L22" s="33" t="s">
        <v>10</v>
      </c>
      <c r="M22" s="34" t="s">
        <v>19</v>
      </c>
      <c r="O22" s="1">
        <v>0</v>
      </c>
    </row>
    <row r="23" spans="1:18" ht="18" customHeight="1" x14ac:dyDescent="0.25">
      <c r="A23" s="82">
        <v>60</v>
      </c>
      <c r="B23" s="111">
        <v>1</v>
      </c>
      <c r="C23" s="110">
        <f>+D19+D17+1</f>
        <v>45986</v>
      </c>
      <c r="D23" s="37">
        <f>+H23*$D$12</f>
        <v>10000</v>
      </c>
      <c r="E23" s="37">
        <f>D12*$D$15/$D$18*(C23-D19)</f>
        <v>873.80136986301375</v>
      </c>
      <c r="F23" s="37">
        <f>+E23+D23</f>
        <v>10873.801369863013</v>
      </c>
      <c r="G23" s="37">
        <f>+D12-D23</f>
        <v>0</v>
      </c>
      <c r="H23" s="112">
        <v>1</v>
      </c>
      <c r="I23" s="35"/>
      <c r="J23" s="36">
        <f>+WORKDAY(C23-1,1,Feriados!$A$2:$A$163)</f>
        <v>45986</v>
      </c>
      <c r="K23" s="78">
        <f>+F23</f>
        <v>10873.801369863013</v>
      </c>
      <c r="L23" s="37">
        <f>+K23/((1+$H$15)^((J23-$J$22)/$D$18))</f>
        <v>10000.000004586816</v>
      </c>
      <c r="M23" s="38">
        <f>+L23*((J23-$J$22)/D$18)</f>
        <v>1726.0273980519712</v>
      </c>
      <c r="O23" s="39">
        <f>+K23</f>
        <v>10873.801369863013</v>
      </c>
      <c r="P23" s="39"/>
      <c r="Q23" s="39"/>
      <c r="R23" s="59"/>
    </row>
    <row r="24" spans="1:18" ht="18" customHeight="1" x14ac:dyDescent="0.25">
      <c r="B24" s="42"/>
      <c r="C24" s="42"/>
      <c r="D24" s="49">
        <f>SUM(D23:D23)</f>
        <v>10000</v>
      </c>
      <c r="E24" s="50">
        <f>SUM(E23:E23)</f>
        <v>873.80136986301375</v>
      </c>
      <c r="F24" s="49">
        <f>SUM(F23:F23)</f>
        <v>10873.801369863013</v>
      </c>
      <c r="G24" s="50"/>
      <c r="H24" s="49">
        <f>SUM(H23:H23)</f>
        <v>1</v>
      </c>
      <c r="I24" s="46"/>
      <c r="J24" s="47"/>
      <c r="K24" s="48"/>
      <c r="L24" s="49">
        <f>SUM(L23:L23)</f>
        <v>10000.000004586816</v>
      </c>
      <c r="M24" s="50">
        <f>SUM(M23:M23)</f>
        <v>1726.0273980519712</v>
      </c>
      <c r="Q24" s="39"/>
    </row>
    <row r="25" spans="1:18" ht="18" customHeight="1" x14ac:dyDescent="0.25">
      <c r="C25" s="51"/>
      <c r="D25" s="5"/>
      <c r="K25" s="52" t="s">
        <v>2</v>
      </c>
      <c r="L25" s="53"/>
      <c r="M25" s="54">
        <f>+M24/L24</f>
        <v>0.17260273972602741</v>
      </c>
      <c r="Q25" s="55"/>
    </row>
    <row r="26" spans="1:18" ht="18" customHeight="1" x14ac:dyDescent="0.25">
      <c r="C26" s="51"/>
      <c r="D26" s="5"/>
      <c r="K26" s="52" t="s">
        <v>0</v>
      </c>
      <c r="L26" s="53"/>
      <c r="M26" s="57">
        <f>XIRR(K22:K23,J22:J23)</f>
        <v>0.62472962737083448</v>
      </c>
    </row>
    <row r="27" spans="1:18" ht="15" customHeight="1" x14ac:dyDescent="0.25">
      <c r="C27" s="56"/>
      <c r="D27" s="5"/>
      <c r="E27" s="23"/>
    </row>
    <row r="28" spans="1:18" ht="15" customHeight="1" x14ac:dyDescent="0.25">
      <c r="B28" s="174" t="s">
        <v>17</v>
      </c>
      <c r="C28" s="174"/>
      <c r="D28" s="174"/>
      <c r="E28" s="174"/>
      <c r="F28" s="174"/>
      <c r="G28" s="174"/>
      <c r="H28" s="174"/>
      <c r="I28" s="174"/>
      <c r="J28" s="174"/>
      <c r="K28" s="174"/>
      <c r="L28" s="174"/>
      <c r="M28" s="174"/>
    </row>
    <row r="29" spans="1:18" x14ac:dyDescent="0.25">
      <c r="B29" s="174"/>
      <c r="C29" s="174"/>
      <c r="D29" s="174"/>
      <c r="E29" s="174"/>
      <c r="F29" s="174"/>
      <c r="G29" s="174"/>
      <c r="H29" s="174"/>
      <c r="I29" s="174"/>
      <c r="J29" s="174"/>
      <c r="K29" s="174"/>
      <c r="L29" s="174"/>
      <c r="M29" s="174"/>
    </row>
    <row r="30" spans="1:18" x14ac:dyDescent="0.25">
      <c r="B30" s="174"/>
      <c r="C30" s="174"/>
      <c r="D30" s="174"/>
      <c r="E30" s="174"/>
      <c r="F30" s="174"/>
      <c r="G30" s="174"/>
      <c r="H30" s="174"/>
      <c r="I30" s="174"/>
      <c r="J30" s="174"/>
      <c r="K30" s="174"/>
      <c r="L30" s="174"/>
      <c r="M30" s="174"/>
    </row>
    <row r="31" spans="1:18" x14ac:dyDescent="0.25">
      <c r="B31" s="174"/>
      <c r="C31" s="174"/>
      <c r="D31" s="174"/>
      <c r="E31" s="174"/>
      <c r="F31" s="174"/>
      <c r="G31" s="174"/>
      <c r="H31" s="174"/>
      <c r="I31" s="174"/>
      <c r="J31" s="174"/>
      <c r="K31" s="174"/>
      <c r="L31" s="174"/>
      <c r="M31" s="174"/>
    </row>
    <row r="32" spans="1:18" ht="15" customHeight="1" x14ac:dyDescent="0.25">
      <c r="B32" s="174" t="s">
        <v>18</v>
      </c>
      <c r="C32" s="174"/>
      <c r="D32" s="174"/>
      <c r="E32" s="174"/>
      <c r="F32" s="174"/>
      <c r="G32" s="174"/>
      <c r="H32" s="174"/>
      <c r="I32" s="174"/>
      <c r="J32" s="174"/>
      <c r="K32" s="174"/>
      <c r="L32" s="174"/>
      <c r="M32" s="174"/>
    </row>
    <row r="33" spans="2:13" x14ac:dyDescent="0.25">
      <c r="B33" s="174"/>
      <c r="C33" s="174"/>
      <c r="D33" s="174"/>
      <c r="E33" s="174"/>
      <c r="F33" s="174"/>
      <c r="G33" s="174"/>
      <c r="H33" s="174"/>
      <c r="I33" s="174"/>
      <c r="J33" s="174"/>
      <c r="K33" s="174"/>
      <c r="L33" s="174"/>
      <c r="M33" s="174"/>
    </row>
    <row r="34" spans="2:13" x14ac:dyDescent="0.25">
      <c r="B34" s="174"/>
      <c r="C34" s="174"/>
      <c r="D34" s="174"/>
      <c r="E34" s="174"/>
      <c r="F34" s="174"/>
      <c r="G34" s="174"/>
      <c r="H34" s="174"/>
      <c r="I34" s="174"/>
      <c r="J34" s="174"/>
      <c r="K34" s="174"/>
      <c r="L34" s="174"/>
      <c r="M34" s="174"/>
    </row>
    <row r="35" spans="2:13" x14ac:dyDescent="0.25">
      <c r="B35" s="174"/>
      <c r="C35" s="174"/>
      <c r="D35" s="174"/>
      <c r="E35" s="174"/>
      <c r="F35" s="174"/>
      <c r="G35" s="174"/>
      <c r="H35" s="174"/>
      <c r="I35" s="174"/>
      <c r="J35" s="174"/>
      <c r="K35" s="174"/>
      <c r="L35" s="174"/>
      <c r="M35" s="174"/>
    </row>
    <row r="36" spans="2:13" x14ac:dyDescent="0.25">
      <c r="B36" s="174"/>
      <c r="C36" s="174"/>
      <c r="D36" s="174"/>
      <c r="E36" s="174"/>
      <c r="F36" s="174"/>
      <c r="G36" s="174"/>
      <c r="H36" s="174"/>
      <c r="I36" s="174"/>
      <c r="J36" s="174"/>
      <c r="K36" s="174"/>
      <c r="L36" s="174"/>
      <c r="M36" s="174"/>
    </row>
    <row r="37" spans="2:13" x14ac:dyDescent="0.25">
      <c r="B37" s="174"/>
      <c r="C37" s="174"/>
      <c r="D37" s="174"/>
      <c r="E37" s="174"/>
      <c r="F37" s="174"/>
      <c r="G37" s="174"/>
      <c r="H37" s="174"/>
      <c r="I37" s="174"/>
      <c r="J37" s="174"/>
      <c r="K37" s="174"/>
      <c r="L37" s="174"/>
      <c r="M37" s="174"/>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7">
    <mergeCell ref="B32:M37"/>
    <mergeCell ref="O7:S12"/>
    <mergeCell ref="B12:C12"/>
    <mergeCell ref="J15:M15"/>
    <mergeCell ref="B21:H21"/>
    <mergeCell ref="J21:M21"/>
    <mergeCell ref="B28:M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8A61-3A23-445F-B966-1EB4CDE8CBF9}">
  <dimension ref="A1:S253"/>
  <sheetViews>
    <sheetView showGridLines="0" topLeftCell="A9"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35">
      <c r="E9" s="65"/>
      <c r="F9" s="65"/>
      <c r="G9" s="66"/>
      <c r="L9" s="65"/>
      <c r="M9" s="65"/>
      <c r="O9" s="177"/>
      <c r="P9" s="177"/>
      <c r="Q9" s="177"/>
      <c r="R9" s="177"/>
      <c r="S9" s="177"/>
    </row>
    <row r="10" spans="2:19" ht="21" x14ac:dyDescent="0.35">
      <c r="E10" s="65"/>
      <c r="G10" s="66"/>
      <c r="L10" s="65"/>
      <c r="M10" s="65"/>
      <c r="O10" s="177"/>
      <c r="P10" s="177"/>
      <c r="Q10" s="177"/>
      <c r="R10" s="177"/>
      <c r="S10" s="177"/>
    </row>
    <row r="11" spans="2:19" ht="14.25" customHeight="1" x14ac:dyDescent="0.35">
      <c r="E11" s="65"/>
      <c r="F11" s="65"/>
      <c r="G11" s="69"/>
      <c r="H11" s="69"/>
      <c r="I11" s="69"/>
      <c r="L11" s="65"/>
      <c r="M11" s="65"/>
      <c r="O11" s="177"/>
      <c r="P11" s="177"/>
      <c r="Q11" s="177"/>
      <c r="R11" s="177"/>
      <c r="S11" s="177"/>
    </row>
    <row r="12" spans="2:19" ht="18" customHeight="1" x14ac:dyDescent="0.25">
      <c r="B12" s="185" t="str">
        <f>+B24</f>
        <v>Letras del Tesoro Clase 3</v>
      </c>
      <c r="C12" s="186"/>
      <c r="D12" s="187"/>
      <c r="E12" s="6"/>
      <c r="I12" s="58"/>
      <c r="J12" s="129" t="s">
        <v>59</v>
      </c>
      <c r="K12" s="58"/>
      <c r="L12" s="58"/>
      <c r="M12" s="58"/>
      <c r="O12" s="177"/>
      <c r="P12" s="177"/>
      <c r="Q12" s="177"/>
      <c r="R12" s="177"/>
      <c r="S12" s="177"/>
    </row>
    <row r="13" spans="2:19" ht="18" customHeight="1" x14ac:dyDescent="0.25">
      <c r="B13" s="130" t="s">
        <v>52</v>
      </c>
      <c r="C13" s="131"/>
      <c r="D13" s="132">
        <v>10000</v>
      </c>
      <c r="E13" s="6"/>
      <c r="I13" s="58"/>
      <c r="J13" s="58"/>
      <c r="K13" s="58"/>
      <c r="L13" s="58"/>
      <c r="M13" s="58"/>
      <c r="O13" s="113"/>
      <c r="P13" s="113"/>
      <c r="Q13" s="113"/>
      <c r="R13" s="113"/>
      <c r="S13" s="113"/>
    </row>
    <row r="14" spans="2:19" ht="18" customHeight="1" x14ac:dyDescent="0.25">
      <c r="B14" s="133" t="s">
        <v>51</v>
      </c>
      <c r="C14" s="134"/>
      <c r="D14" s="135">
        <f>+Resumen!J30</f>
        <v>1</v>
      </c>
      <c r="E14" s="6"/>
      <c r="I14" s="58"/>
      <c r="J14" s="58"/>
      <c r="K14" s="58"/>
      <c r="L14" s="58"/>
      <c r="M14" s="58"/>
      <c r="O14" s="113"/>
      <c r="P14" s="113"/>
      <c r="Q14" s="113"/>
      <c r="R14" s="113"/>
      <c r="S14" s="113"/>
    </row>
    <row r="15" spans="2:19" ht="18" customHeight="1" x14ac:dyDescent="0.25">
      <c r="B15" s="136" t="s">
        <v>53</v>
      </c>
      <c r="C15" s="137"/>
      <c r="D15" s="138">
        <f>ROUNDDOWN(D13*D14,0)</f>
        <v>10000</v>
      </c>
      <c r="E15" s="6"/>
      <c r="I15" s="58"/>
      <c r="J15" s="58"/>
      <c r="K15" s="58"/>
      <c r="L15" s="58"/>
      <c r="M15" s="58"/>
      <c r="O15" s="113"/>
      <c r="P15" s="113"/>
      <c r="Q15" s="113"/>
      <c r="R15" s="113"/>
      <c r="S15" s="113"/>
    </row>
    <row r="16" spans="2:19" ht="18" customHeight="1" x14ac:dyDescent="0.25">
      <c r="B16" s="15" t="s">
        <v>40</v>
      </c>
      <c r="C16" s="16"/>
      <c r="D16" s="79">
        <f>+Resumen!Q31</f>
        <v>5.5E-2</v>
      </c>
      <c r="E16" s="6"/>
      <c r="I16" s="58"/>
      <c r="J16" s="185" t="s">
        <v>60</v>
      </c>
      <c r="K16" s="187"/>
      <c r="L16" s="58"/>
      <c r="M16" s="154"/>
      <c r="N16" s="154"/>
      <c r="O16" s="154"/>
      <c r="P16" s="154"/>
      <c r="Q16" s="5"/>
      <c r="R16" s="113"/>
      <c r="S16" s="113"/>
    </row>
    <row r="17" spans="1:19" ht="18" customHeight="1" x14ac:dyDescent="0.25">
      <c r="B17" s="15" t="s">
        <v>48</v>
      </c>
      <c r="C17" s="16"/>
      <c r="D17" s="80">
        <f>+Resumen!Q24</f>
        <v>0.45124999999999998</v>
      </c>
      <c r="E17" s="6"/>
      <c r="I17" s="58"/>
      <c r="J17" s="140" t="s">
        <v>54</v>
      </c>
      <c r="K17" s="141">
        <v>45863</v>
      </c>
      <c r="L17" s="58"/>
      <c r="M17" s="151"/>
      <c r="O17" s="152"/>
      <c r="Q17" s="149"/>
      <c r="R17" s="113"/>
      <c r="S17" s="113"/>
    </row>
    <row r="18" spans="1:19" ht="15" customHeight="1" x14ac:dyDescent="0.25">
      <c r="B18" s="15" t="s">
        <v>15</v>
      </c>
      <c r="C18" s="16"/>
      <c r="D18" s="79">
        <f>+D16+D17</f>
        <v>0.50624999999999998</v>
      </c>
      <c r="E18" s="6"/>
      <c r="F18" s="10" t="s">
        <v>0</v>
      </c>
      <c r="G18" s="11"/>
      <c r="H18" s="12">
        <f>M29</f>
        <v>0.62472962737083448</v>
      </c>
      <c r="J18" s="142" t="s">
        <v>15</v>
      </c>
      <c r="K18" s="143">
        <v>0.45500000000000002</v>
      </c>
      <c r="L18" s="139"/>
      <c r="M18" s="153"/>
    </row>
    <row r="19" spans="1:19" ht="15" customHeight="1" x14ac:dyDescent="0.25">
      <c r="B19" s="15" t="s">
        <v>25</v>
      </c>
      <c r="C19" s="16"/>
      <c r="D19" s="80">
        <v>1</v>
      </c>
      <c r="E19" s="6"/>
      <c r="F19" s="18" t="s">
        <v>12</v>
      </c>
      <c r="G19" s="19"/>
      <c r="H19" s="20">
        <f>+((1+H18)^(D20/D21)-1)/D20*D21</f>
        <v>0.50590886967658277</v>
      </c>
      <c r="J19" s="142" t="s">
        <v>55</v>
      </c>
      <c r="K19" s="144">
        <v>100</v>
      </c>
      <c r="L19" s="8"/>
      <c r="Q19" s="5"/>
    </row>
    <row r="20" spans="1:19" ht="15" customHeight="1" x14ac:dyDescent="0.25">
      <c r="B20" s="15" t="s">
        <v>20</v>
      </c>
      <c r="C20" s="16"/>
      <c r="D20" s="63">
        <f>+Resumen!Q15</f>
        <v>62</v>
      </c>
      <c r="E20" s="6"/>
      <c r="F20" s="21" t="s">
        <v>2</v>
      </c>
      <c r="G20" s="6"/>
      <c r="H20" s="22">
        <f>+M28</f>
        <v>0.17260273972602741</v>
      </c>
      <c r="J20" s="142" t="s">
        <v>56</v>
      </c>
      <c r="K20" s="145">
        <v>1</v>
      </c>
      <c r="L20" s="8"/>
      <c r="Q20" s="149"/>
    </row>
    <row r="21" spans="1:19" ht="15" customHeight="1" x14ac:dyDescent="0.25">
      <c r="B21" s="15" t="s">
        <v>1</v>
      </c>
      <c r="C21" s="16"/>
      <c r="D21" s="17">
        <v>365</v>
      </c>
      <c r="E21" s="9"/>
      <c r="F21" s="21" t="s">
        <v>3</v>
      </c>
      <c r="G21" s="6"/>
      <c r="H21" s="22">
        <f>+H20*12</f>
        <v>2.0712328767123287</v>
      </c>
      <c r="I21" s="7"/>
      <c r="J21" s="142" t="s">
        <v>57</v>
      </c>
      <c r="K21" s="146">
        <f>+(K19*K20)*K18/365*(D22-K17)</f>
        <v>7.4794520547945202</v>
      </c>
      <c r="L21" s="13"/>
      <c r="M21" s="150"/>
    </row>
    <row r="22" spans="1:19" ht="15" customHeight="1" x14ac:dyDescent="0.25">
      <c r="B22" s="73" t="s">
        <v>14</v>
      </c>
      <c r="C22" s="24"/>
      <c r="D22" s="74">
        <f>+Resumen!N13</f>
        <v>45923</v>
      </c>
      <c r="E22" s="9"/>
      <c r="F22" s="25" t="s">
        <v>11</v>
      </c>
      <c r="G22" s="26"/>
      <c r="H22" s="27">
        <f>H21/(1+H18)</f>
        <v>1.2748169552764501</v>
      </c>
      <c r="I22" s="7"/>
      <c r="J22" s="147" t="s">
        <v>58</v>
      </c>
      <c r="K22" s="148">
        <f>TRUNC(+((K20*K19)+K21)/K19,6)</f>
        <v>1.074794</v>
      </c>
      <c r="L22" s="1" t="s">
        <v>63</v>
      </c>
      <c r="M22" s="150"/>
    </row>
    <row r="23" spans="1:19" ht="15" customHeight="1" x14ac:dyDescent="0.25">
      <c r="E23" s="9"/>
      <c r="I23" s="7"/>
      <c r="J23" s="64"/>
      <c r="K23" s="58"/>
      <c r="L23" s="13"/>
      <c r="M23" s="14"/>
    </row>
    <row r="24" spans="1:19" ht="18" customHeight="1" x14ac:dyDescent="0.25">
      <c r="B24" s="178" t="s">
        <v>49</v>
      </c>
      <c r="C24" s="179"/>
      <c r="D24" s="179"/>
      <c r="E24" s="179"/>
      <c r="F24" s="179"/>
      <c r="G24" s="179"/>
      <c r="H24" s="180"/>
      <c r="J24" s="178" t="s">
        <v>13</v>
      </c>
      <c r="K24" s="179"/>
      <c r="L24" s="179"/>
      <c r="M24" s="179"/>
    </row>
    <row r="25" spans="1:19" ht="30.75" customHeight="1" x14ac:dyDescent="0.25">
      <c r="B25" s="28" t="s">
        <v>4</v>
      </c>
      <c r="C25" s="29" t="s">
        <v>16</v>
      </c>
      <c r="D25" s="30" t="s">
        <v>5</v>
      </c>
      <c r="E25" s="30" t="s">
        <v>6</v>
      </c>
      <c r="F25" s="29" t="s">
        <v>7</v>
      </c>
      <c r="G25" s="30" t="s">
        <v>8</v>
      </c>
      <c r="H25" s="31" t="s">
        <v>9</v>
      </c>
      <c r="I25" s="32"/>
      <c r="J25" s="68">
        <f>+D22</f>
        <v>45923</v>
      </c>
      <c r="K25" s="77">
        <f>-D13*1</f>
        <v>-10000</v>
      </c>
      <c r="L25" s="33" t="s">
        <v>10</v>
      </c>
      <c r="M25" s="34" t="s">
        <v>19</v>
      </c>
      <c r="O25" s="1">
        <v>0</v>
      </c>
    </row>
    <row r="26" spans="1:19" ht="18" customHeight="1" x14ac:dyDescent="0.25">
      <c r="A26" s="82">
        <v>60</v>
      </c>
      <c r="B26" s="111">
        <v>1</v>
      </c>
      <c r="C26" s="110">
        <f>+D22+D20+1</f>
        <v>45986</v>
      </c>
      <c r="D26" s="37">
        <f>+H26*$D$15</f>
        <v>10000</v>
      </c>
      <c r="E26" s="37">
        <f>D15*$D$18/$D$21*(C26-D22)</f>
        <v>873.80136986301375</v>
      </c>
      <c r="F26" s="37">
        <f>+E26+D26</f>
        <v>10873.801369863013</v>
      </c>
      <c r="G26" s="37">
        <f>+D15-D26</f>
        <v>0</v>
      </c>
      <c r="H26" s="112">
        <v>1</v>
      </c>
      <c r="I26" s="35"/>
      <c r="J26" s="36">
        <f>+WORKDAY(C26-1,1,Feriados!$A$2:$A$163)</f>
        <v>45986</v>
      </c>
      <c r="K26" s="78">
        <f>+F26</f>
        <v>10873.801369863013</v>
      </c>
      <c r="L26" s="37">
        <f>+K26/((1+$H$18)^((J26-$J$25)/$D$21))</f>
        <v>10000.000004586816</v>
      </c>
      <c r="M26" s="38">
        <f>+L26*((J26-$J$25)/D$21)</f>
        <v>1726.0273980519712</v>
      </c>
      <c r="O26" s="39">
        <f>+K26</f>
        <v>10873.801369863013</v>
      </c>
      <c r="P26" s="39"/>
      <c r="Q26" s="39"/>
      <c r="R26" s="59"/>
    </row>
    <row r="27" spans="1:19" ht="18" customHeight="1" x14ac:dyDescent="0.25">
      <c r="B27" s="42"/>
      <c r="C27" s="42"/>
      <c r="D27" s="49">
        <f>SUM(D26:D26)</f>
        <v>10000</v>
      </c>
      <c r="E27" s="50">
        <f>SUM(E26:E26)</f>
        <v>873.80136986301375</v>
      </c>
      <c r="F27" s="49">
        <f>SUM(F26:F26)</f>
        <v>10873.801369863013</v>
      </c>
      <c r="G27" s="50"/>
      <c r="H27" s="49">
        <f>SUM(H26:H26)</f>
        <v>1</v>
      </c>
      <c r="I27" s="46"/>
      <c r="J27" s="47"/>
      <c r="K27" s="48"/>
      <c r="L27" s="49">
        <f>SUM(L26:L26)</f>
        <v>10000.000004586816</v>
      </c>
      <c r="M27" s="50">
        <f>SUM(M26:M26)</f>
        <v>1726.0273980519712</v>
      </c>
      <c r="Q27" s="39"/>
    </row>
    <row r="28" spans="1:19" ht="18" customHeight="1" x14ac:dyDescent="0.25">
      <c r="C28" s="51"/>
      <c r="D28" s="5"/>
      <c r="K28" s="52" t="s">
        <v>2</v>
      </c>
      <c r="L28" s="53"/>
      <c r="M28" s="54">
        <f>+M27/L27</f>
        <v>0.17260273972602741</v>
      </c>
      <c r="Q28" s="55"/>
    </row>
    <row r="29" spans="1:19" ht="18" customHeight="1" x14ac:dyDescent="0.25">
      <c r="C29" s="51"/>
      <c r="D29" s="5"/>
      <c r="K29" s="52" t="s">
        <v>0</v>
      </c>
      <c r="L29" s="53"/>
      <c r="M29" s="57">
        <f>XIRR(K25:K26,J25:J26)</f>
        <v>0.62472962737083448</v>
      </c>
    </row>
    <row r="30" spans="1:19" ht="15" customHeight="1" x14ac:dyDescent="0.25">
      <c r="C30" s="56"/>
      <c r="D30" s="5"/>
      <c r="E30" s="23"/>
    </row>
    <row r="31" spans="1:19" ht="15" customHeight="1" x14ac:dyDescent="0.25">
      <c r="B31" s="174" t="s">
        <v>17</v>
      </c>
      <c r="C31" s="174"/>
      <c r="D31" s="174"/>
      <c r="E31" s="174"/>
      <c r="F31" s="174"/>
      <c r="G31" s="174"/>
      <c r="H31" s="174"/>
      <c r="I31" s="174"/>
      <c r="J31" s="174"/>
      <c r="K31" s="174"/>
      <c r="L31" s="174"/>
      <c r="M31" s="174"/>
    </row>
    <row r="32" spans="1:19" x14ac:dyDescent="0.25">
      <c r="B32" s="174"/>
      <c r="C32" s="174"/>
      <c r="D32" s="174"/>
      <c r="E32" s="174"/>
      <c r="F32" s="174"/>
      <c r="G32" s="174"/>
      <c r="H32" s="174"/>
      <c r="I32" s="174"/>
      <c r="J32" s="174"/>
      <c r="K32" s="174"/>
      <c r="L32" s="174"/>
      <c r="M32" s="174"/>
    </row>
    <row r="33" spans="2:13" x14ac:dyDescent="0.25">
      <c r="B33" s="174"/>
      <c r="C33" s="174"/>
      <c r="D33" s="174"/>
      <c r="E33" s="174"/>
      <c r="F33" s="174"/>
      <c r="G33" s="174"/>
      <c r="H33" s="174"/>
      <c r="I33" s="174"/>
      <c r="J33" s="174"/>
      <c r="K33" s="174"/>
      <c r="L33" s="174"/>
      <c r="M33" s="174"/>
    </row>
    <row r="34" spans="2:13" x14ac:dyDescent="0.25">
      <c r="B34" s="174"/>
      <c r="C34" s="174"/>
      <c r="D34" s="174"/>
      <c r="E34" s="174"/>
      <c r="F34" s="174"/>
      <c r="G34" s="174"/>
      <c r="H34" s="174"/>
      <c r="I34" s="174"/>
      <c r="J34" s="174"/>
      <c r="K34" s="174"/>
      <c r="L34" s="174"/>
      <c r="M34" s="174"/>
    </row>
    <row r="35" spans="2:13" ht="15" customHeight="1" x14ac:dyDescent="0.25">
      <c r="B35" s="174" t="s">
        <v>18</v>
      </c>
      <c r="C35" s="174"/>
      <c r="D35" s="174"/>
      <c r="E35" s="174"/>
      <c r="F35" s="174"/>
      <c r="G35" s="174"/>
      <c r="H35" s="174"/>
      <c r="I35" s="174"/>
      <c r="J35" s="174"/>
      <c r="K35" s="174"/>
      <c r="L35" s="174"/>
      <c r="M35" s="174"/>
    </row>
    <row r="36" spans="2:13" x14ac:dyDescent="0.25">
      <c r="B36" s="174"/>
      <c r="C36" s="174"/>
      <c r="D36" s="174"/>
      <c r="E36" s="174"/>
      <c r="F36" s="174"/>
      <c r="G36" s="174"/>
      <c r="H36" s="174"/>
      <c r="I36" s="174"/>
      <c r="J36" s="174"/>
      <c r="K36" s="174"/>
      <c r="L36" s="174"/>
      <c r="M36" s="174"/>
    </row>
    <row r="37" spans="2:13" x14ac:dyDescent="0.25">
      <c r="B37" s="174"/>
      <c r="C37" s="174"/>
      <c r="D37" s="174"/>
      <c r="E37" s="174"/>
      <c r="F37" s="174"/>
      <c r="G37" s="174"/>
      <c r="H37" s="174"/>
      <c r="I37" s="174"/>
      <c r="J37" s="174"/>
      <c r="K37" s="174"/>
      <c r="L37" s="174"/>
      <c r="M37" s="174"/>
    </row>
    <row r="38" spans="2:13" x14ac:dyDescent="0.25">
      <c r="B38" s="174"/>
      <c r="C38" s="174"/>
      <c r="D38" s="174"/>
      <c r="E38" s="174"/>
      <c r="F38" s="174"/>
      <c r="G38" s="174"/>
      <c r="H38" s="174"/>
      <c r="I38" s="174"/>
      <c r="J38" s="174"/>
      <c r="K38" s="174"/>
      <c r="L38" s="174"/>
      <c r="M38" s="174"/>
    </row>
    <row r="39" spans="2:13" x14ac:dyDescent="0.25">
      <c r="B39" s="174"/>
      <c r="C39" s="174"/>
      <c r="D39" s="174"/>
      <c r="E39" s="174"/>
      <c r="F39" s="174"/>
      <c r="G39" s="174"/>
      <c r="H39" s="174"/>
      <c r="I39" s="174"/>
      <c r="J39" s="174"/>
      <c r="K39" s="174"/>
      <c r="L39" s="174"/>
      <c r="M39" s="174"/>
    </row>
    <row r="40" spans="2:13" x14ac:dyDescent="0.25">
      <c r="B40" s="174"/>
      <c r="C40" s="174"/>
      <c r="D40" s="174"/>
      <c r="E40" s="174"/>
      <c r="F40" s="174"/>
      <c r="G40" s="174"/>
      <c r="H40" s="174"/>
      <c r="I40" s="174"/>
      <c r="J40" s="174"/>
      <c r="K40" s="174"/>
      <c r="L40" s="174"/>
      <c r="M40" s="174"/>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B12:D12"/>
    <mergeCell ref="J16:K16"/>
    <mergeCell ref="O7:S12"/>
    <mergeCell ref="B24:H24"/>
    <mergeCell ref="J24:M24"/>
    <mergeCell ref="B31:M3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4896-4197-4675-B7BE-27309C93EB14}">
  <dimension ref="A1:S228"/>
  <sheetViews>
    <sheetView showGridLines="0" topLeftCell="A8" zoomScale="80" zoomScaleNormal="80" workbookViewId="0">
      <selection activeCell="R29" sqref="R29"/>
    </sheetView>
  </sheetViews>
  <sheetFormatPr baseColWidth="10" defaultColWidth="11.42578125" defaultRowHeight="15" x14ac:dyDescent="0.25"/>
  <cols>
    <col min="1" max="1" width="4.42578125" style="82" bestFit="1" customWidth="1"/>
    <col min="2" max="2" width="16" style="1" hidden="1" customWidth="1"/>
    <col min="3" max="3" width="12.28515625" style="1" hidden="1" customWidth="1"/>
    <col min="4" max="4" width="21.5703125" style="1" hidden="1" customWidth="1"/>
    <col min="5" max="5" width="14.85546875" style="1" hidden="1" customWidth="1"/>
    <col min="6" max="6" width="16.140625" style="1" hidden="1" customWidth="1"/>
    <col min="7" max="7" width="14.7109375" style="1" hidden="1" customWidth="1"/>
    <col min="8" max="8" width="14" style="1" hidden="1" customWidth="1"/>
    <col min="9" max="9" width="7.28515625" style="1" customWidth="1"/>
    <col min="10" max="10" width="40"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21.710937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7"/>
      <c r="P7" s="177"/>
      <c r="Q7" s="177"/>
      <c r="R7" s="177"/>
      <c r="S7" s="177"/>
    </row>
    <row r="8" spans="2:19" ht="15" customHeight="1" x14ac:dyDescent="0.25">
      <c r="E8" s="65"/>
      <c r="F8" s="65"/>
      <c r="G8" s="65"/>
      <c r="H8" s="65"/>
      <c r="I8" s="65"/>
      <c r="J8" s="65"/>
      <c r="K8" s="65"/>
      <c r="L8" s="65"/>
      <c r="M8" s="65"/>
      <c r="O8" s="177"/>
      <c r="P8" s="177"/>
      <c r="Q8" s="177"/>
      <c r="R8" s="177"/>
      <c r="S8" s="177"/>
    </row>
    <row r="9" spans="2:19" ht="18.75" customHeight="1" x14ac:dyDescent="0.35">
      <c r="E9" s="65"/>
      <c r="F9" s="65"/>
      <c r="G9" s="66"/>
      <c r="L9" s="65"/>
      <c r="M9" s="65"/>
      <c r="O9" s="177"/>
      <c r="P9" s="177"/>
      <c r="Q9" s="177"/>
      <c r="R9" s="177"/>
      <c r="S9" s="177"/>
    </row>
    <row r="10" spans="2:19" ht="21" x14ac:dyDescent="0.35">
      <c r="E10" s="65"/>
      <c r="G10" s="66"/>
      <c r="L10" s="65"/>
      <c r="M10" s="65"/>
      <c r="O10" s="177"/>
      <c r="P10" s="177"/>
      <c r="Q10" s="177"/>
      <c r="R10" s="177"/>
      <c r="S10" s="177"/>
    </row>
    <row r="11" spans="2:19" ht="14.25" customHeight="1" x14ac:dyDescent="0.35">
      <c r="E11" s="65"/>
      <c r="F11" s="65"/>
      <c r="G11" s="69"/>
      <c r="H11" s="69"/>
      <c r="I11" s="69"/>
      <c r="L11" s="65"/>
      <c r="M11" s="65"/>
      <c r="O11" s="177"/>
      <c r="P11" s="177"/>
      <c r="Q11" s="177"/>
      <c r="R11" s="177"/>
      <c r="S11" s="177"/>
    </row>
    <row r="12" spans="2:19" ht="18" hidden="1" customHeight="1" x14ac:dyDescent="0.25">
      <c r="E12" s="6"/>
      <c r="I12" s="58"/>
      <c r="J12" s="129"/>
      <c r="K12" s="58"/>
      <c r="L12" s="58"/>
      <c r="M12" s="58"/>
      <c r="O12" s="177"/>
      <c r="P12" s="177"/>
      <c r="Q12" s="177"/>
      <c r="R12" s="177"/>
      <c r="S12" s="177"/>
    </row>
    <row r="13" spans="2:19" ht="18" hidden="1" customHeight="1" x14ac:dyDescent="0.25">
      <c r="E13" s="6"/>
      <c r="I13" s="58"/>
      <c r="J13" s="58"/>
      <c r="K13" s="58"/>
      <c r="L13" s="58"/>
      <c r="M13" s="58"/>
      <c r="O13" s="113"/>
      <c r="P13" s="113"/>
      <c r="Q13" s="113"/>
      <c r="R13" s="113"/>
      <c r="S13" s="113"/>
    </row>
    <row r="14" spans="2:19" ht="18" hidden="1" customHeight="1" x14ac:dyDescent="0.25">
      <c r="B14" s="185" t="e">
        <f>+#REF!</f>
        <v>#REF!</v>
      </c>
      <c r="C14" s="186"/>
      <c r="D14" s="187"/>
      <c r="E14" s="6"/>
      <c r="I14" s="58"/>
      <c r="J14" s="58"/>
      <c r="K14" s="58"/>
      <c r="L14" s="58"/>
      <c r="M14" s="58"/>
      <c r="O14" s="113"/>
      <c r="P14" s="113"/>
      <c r="Q14" s="113"/>
      <c r="R14" s="113"/>
      <c r="S14" s="113"/>
    </row>
    <row r="15" spans="2:19" ht="18" customHeight="1" x14ac:dyDescent="0.25">
      <c r="B15" s="130" t="s">
        <v>52</v>
      </c>
      <c r="C15" s="131"/>
      <c r="D15" s="132">
        <v>100</v>
      </c>
      <c r="E15" s="6"/>
      <c r="I15" s="58"/>
      <c r="J15" s="58"/>
      <c r="K15" s="58"/>
      <c r="L15" s="58"/>
      <c r="M15" s="58"/>
      <c r="O15" s="113"/>
      <c r="P15" s="113"/>
      <c r="Q15" s="113"/>
      <c r="R15" s="113"/>
      <c r="S15" s="113"/>
    </row>
    <row r="16" spans="2:19" ht="18" customHeight="1" x14ac:dyDescent="0.25">
      <c r="B16" s="133" t="s">
        <v>51</v>
      </c>
      <c r="C16" s="134"/>
      <c r="D16" s="156">
        <f>+Resumen!J30</f>
        <v>1</v>
      </c>
      <c r="E16" s="6"/>
      <c r="I16" s="58"/>
      <c r="J16" s="185" t="s">
        <v>60</v>
      </c>
      <c r="K16" s="187"/>
      <c r="L16" s="58"/>
      <c r="M16" s="154"/>
      <c r="N16" s="154"/>
      <c r="O16" s="154"/>
      <c r="P16" s="154"/>
      <c r="Q16" s="5"/>
      <c r="R16" s="113"/>
      <c r="S16" s="113"/>
    </row>
    <row r="17" spans="2:19" ht="18" customHeight="1" x14ac:dyDescent="0.25">
      <c r="B17" s="136" t="s">
        <v>62</v>
      </c>
      <c r="C17" s="137"/>
      <c r="D17" s="161">
        <f>ROUNDDOWN(D15*D16,0)</f>
        <v>100</v>
      </c>
      <c r="E17" s="6"/>
      <c r="I17" s="58"/>
      <c r="J17" s="140" t="s">
        <v>65</v>
      </c>
      <c r="K17" s="141">
        <v>45863</v>
      </c>
      <c r="L17" s="58"/>
      <c r="M17" s="151"/>
      <c r="O17" s="152"/>
      <c r="P17" s="155"/>
      <c r="Q17" s="149"/>
      <c r="R17" s="113"/>
      <c r="S17" s="113"/>
    </row>
    <row r="18" spans="2:19" ht="15" customHeight="1" x14ac:dyDescent="0.25">
      <c r="B18" s="15" t="s">
        <v>15</v>
      </c>
      <c r="C18" s="16"/>
      <c r="D18" s="162">
        <f>+Resumen!J31</f>
        <v>0.5</v>
      </c>
      <c r="E18" s="6"/>
      <c r="F18" s="19"/>
      <c r="G18" s="19"/>
      <c r="H18" s="167"/>
      <c r="J18" s="142" t="s">
        <v>15</v>
      </c>
      <c r="K18" s="143">
        <v>0.45500000000000002</v>
      </c>
      <c r="L18" s="139"/>
      <c r="M18" s="157"/>
      <c r="P18" s="155"/>
    </row>
    <row r="19" spans="2:19" ht="15" customHeight="1" x14ac:dyDescent="0.25">
      <c r="B19" s="15" t="s">
        <v>25</v>
      </c>
      <c r="C19" s="16"/>
      <c r="D19" s="163">
        <v>1</v>
      </c>
      <c r="E19" s="6"/>
      <c r="F19" s="19"/>
      <c r="G19" s="19"/>
      <c r="H19" s="167"/>
      <c r="J19" s="142" t="s">
        <v>55</v>
      </c>
      <c r="K19" s="144">
        <v>100</v>
      </c>
      <c r="L19" s="8"/>
      <c r="Q19" s="5"/>
    </row>
    <row r="20" spans="2:19" ht="15" customHeight="1" x14ac:dyDescent="0.25">
      <c r="B20" s="15" t="s">
        <v>20</v>
      </c>
      <c r="C20" s="16"/>
      <c r="D20" s="164">
        <f>+Resumen!J15</f>
        <v>30</v>
      </c>
      <c r="E20" s="6"/>
      <c r="F20" s="6"/>
      <c r="G20" s="6"/>
      <c r="H20" s="168"/>
      <c r="J20" s="142" t="s">
        <v>56</v>
      </c>
      <c r="K20" s="145">
        <v>1</v>
      </c>
      <c r="L20" s="8"/>
      <c r="M20" s="155"/>
      <c r="P20" s="158"/>
      <c r="Q20" s="149"/>
    </row>
    <row r="21" spans="2:19" ht="15" customHeight="1" x14ac:dyDescent="0.25">
      <c r="B21" s="15" t="s">
        <v>1</v>
      </c>
      <c r="C21" s="16"/>
      <c r="D21" s="165">
        <v>365</v>
      </c>
      <c r="E21" s="9"/>
      <c r="F21" s="6"/>
      <c r="G21" s="6"/>
      <c r="H21" s="168"/>
      <c r="I21" s="7"/>
      <c r="J21" s="142" t="s">
        <v>57</v>
      </c>
      <c r="K21" s="146">
        <f>+(K19*K20)*K18/365*(D22-K17)</f>
        <v>7.4794520547945202</v>
      </c>
      <c r="L21" s="13"/>
      <c r="M21" s="150"/>
      <c r="P21" s="159"/>
    </row>
    <row r="22" spans="2:19" ht="15" customHeight="1" x14ac:dyDescent="0.25">
      <c r="B22" s="73" t="s">
        <v>14</v>
      </c>
      <c r="C22" s="24"/>
      <c r="D22" s="166">
        <f>+Resumen!N13</f>
        <v>45923</v>
      </c>
      <c r="E22" s="9"/>
      <c r="F22" s="6"/>
      <c r="G22" s="6"/>
      <c r="H22" s="168"/>
      <c r="I22" s="7"/>
      <c r="J22" s="147" t="s">
        <v>58</v>
      </c>
      <c r="K22" s="169">
        <f>TRUNC(+((K20*K19)+K21)/K19,6)</f>
        <v>1.074794</v>
      </c>
      <c r="M22" s="150"/>
    </row>
    <row r="23" spans="2:19" ht="15" customHeight="1" x14ac:dyDescent="0.25">
      <c r="E23" s="9"/>
      <c r="I23" s="7"/>
      <c r="J23" s="64"/>
      <c r="K23" s="58"/>
      <c r="L23" s="13"/>
      <c r="M23" s="14"/>
    </row>
    <row r="24" spans="2:19" ht="135" customHeight="1" x14ac:dyDescent="0.25">
      <c r="D24" s="5"/>
      <c r="J24" s="183" t="s">
        <v>66</v>
      </c>
      <c r="K24" s="183"/>
    </row>
    <row r="25" spans="2:19" x14ac:dyDescent="0.25">
      <c r="D25" s="5"/>
    </row>
    <row r="26" spans="2:19" x14ac:dyDescent="0.25">
      <c r="D26" s="5"/>
    </row>
    <row r="27" spans="2:19" x14ac:dyDescent="0.25">
      <c r="D27" s="5"/>
    </row>
    <row r="28" spans="2:19" x14ac:dyDescent="0.25">
      <c r="D28" s="5"/>
    </row>
    <row r="29" spans="2:19" x14ac:dyDescent="0.25">
      <c r="D29" s="5"/>
    </row>
    <row r="30" spans="2:19" x14ac:dyDescent="0.25">
      <c r="D30" s="5"/>
    </row>
    <row r="31" spans="2:19" x14ac:dyDescent="0.25">
      <c r="D31" s="5"/>
    </row>
    <row r="32" spans="2:19" x14ac:dyDescent="0.25">
      <c r="D32" s="5"/>
    </row>
    <row r="33" spans="4:4" x14ac:dyDescent="0.25">
      <c r="D33" s="5"/>
    </row>
    <row r="34" spans="4:4" x14ac:dyDescent="0.25">
      <c r="D34" s="5"/>
    </row>
    <row r="35" spans="4:4" x14ac:dyDescent="0.25">
      <c r="D35" s="5"/>
    </row>
    <row r="36" spans="4:4" x14ac:dyDescent="0.25">
      <c r="D36" s="5"/>
    </row>
    <row r="37" spans="4:4" x14ac:dyDescent="0.25">
      <c r="D37" s="5"/>
    </row>
    <row r="38" spans="4:4" x14ac:dyDescent="0.25">
      <c r="D38" s="5"/>
    </row>
    <row r="39" spans="4:4" x14ac:dyDescent="0.25">
      <c r="D39" s="5"/>
    </row>
    <row r="40" spans="4:4" x14ac:dyDescent="0.25">
      <c r="D40" s="5"/>
    </row>
    <row r="41" spans="4:4" x14ac:dyDescent="0.25">
      <c r="D41" s="5"/>
    </row>
    <row r="42" spans="4:4" x14ac:dyDescent="0.25">
      <c r="D42" s="5"/>
    </row>
    <row r="43" spans="4:4" x14ac:dyDescent="0.25">
      <c r="D43" s="5"/>
    </row>
    <row r="44" spans="4:4" x14ac:dyDescent="0.25">
      <c r="D44" s="5"/>
    </row>
    <row r="45" spans="4:4" x14ac:dyDescent="0.25">
      <c r="D45" s="5"/>
    </row>
    <row r="46" spans="4:4" x14ac:dyDescent="0.25">
      <c r="D46" s="5"/>
    </row>
    <row r="47" spans="4:4" x14ac:dyDescent="0.25">
      <c r="D47" s="5"/>
    </row>
    <row r="48" spans="4:4"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sheetData>
  <sheetProtection sheet="1" selectLockedCells="1"/>
  <mergeCells count="4">
    <mergeCell ref="O7:S12"/>
    <mergeCell ref="B14:D14"/>
    <mergeCell ref="J16:K16"/>
    <mergeCell ref="J24:K2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74" workbookViewId="0">
      <selection activeCell="A76" sqref="A76"/>
    </sheetView>
  </sheetViews>
  <sheetFormatPr baseColWidth="10" defaultRowHeight="12.75" x14ac:dyDescent="0.2"/>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45614</v>
      </c>
    </row>
    <row r="61" spans="1:1" x14ac:dyDescent="0.2">
      <c r="A61" s="67">
        <v>45634</v>
      </c>
    </row>
    <row r="62" spans="1:1" x14ac:dyDescent="0.2">
      <c r="A62" s="67">
        <v>45651</v>
      </c>
    </row>
    <row r="63" spans="1:1" x14ac:dyDescent="0.2">
      <c r="A63" s="67">
        <v>45658</v>
      </c>
    </row>
    <row r="64" spans="1:1" x14ac:dyDescent="0.2">
      <c r="A64" s="67">
        <v>45719</v>
      </c>
    </row>
    <row r="65" spans="1:1" x14ac:dyDescent="0.2">
      <c r="A65" s="67">
        <v>45720</v>
      </c>
    </row>
    <row r="66" spans="1:1" x14ac:dyDescent="0.2">
      <c r="A66" s="67">
        <v>45740</v>
      </c>
    </row>
    <row r="67" spans="1:1" x14ac:dyDescent="0.2">
      <c r="A67" s="67">
        <v>45749</v>
      </c>
    </row>
    <row r="68" spans="1:1" x14ac:dyDescent="0.2">
      <c r="A68" s="67">
        <v>45764</v>
      </c>
    </row>
    <row r="69" spans="1:1" x14ac:dyDescent="0.2">
      <c r="A69" s="67">
        <v>45765</v>
      </c>
    </row>
    <row r="70" spans="1:1" x14ac:dyDescent="0.2">
      <c r="A70" s="67">
        <v>45778</v>
      </c>
    </row>
    <row r="71" spans="1:1" x14ac:dyDescent="0.2">
      <c r="A71" s="67">
        <v>45802</v>
      </c>
    </row>
    <row r="72" spans="1:1" x14ac:dyDescent="0.2">
      <c r="A72" s="67">
        <v>45825</v>
      </c>
    </row>
    <row r="73" spans="1:1" x14ac:dyDescent="0.2">
      <c r="A73" s="67">
        <v>45828</v>
      </c>
    </row>
    <row r="74" spans="1:1" x14ac:dyDescent="0.2">
      <c r="A74" s="67">
        <v>45847</v>
      </c>
    </row>
    <row r="75" spans="1:1" x14ac:dyDescent="0.2">
      <c r="A75" s="67">
        <v>45884</v>
      </c>
    </row>
    <row r="76" spans="1:1" x14ac:dyDescent="0.2">
      <c r="A76" s="67">
        <v>45886</v>
      </c>
    </row>
    <row r="77" spans="1:1" x14ac:dyDescent="0.2">
      <c r="A77" s="67">
        <v>45942</v>
      </c>
    </row>
    <row r="78" spans="1:1" x14ac:dyDescent="0.2">
      <c r="A78" s="67">
        <v>45985</v>
      </c>
    </row>
    <row r="79" spans="1:1" x14ac:dyDescent="0.2">
      <c r="A79" s="67">
        <v>45999</v>
      </c>
    </row>
    <row r="80" spans="1:1" x14ac:dyDescent="0.2">
      <c r="A80" s="67">
        <v>46016</v>
      </c>
    </row>
    <row r="81" spans="1:1" x14ac:dyDescent="0.2">
      <c r="A81" s="67">
        <v>46023</v>
      </c>
    </row>
    <row r="82" spans="1:1" x14ac:dyDescent="0.2">
      <c r="A82" s="67">
        <v>46069</v>
      </c>
    </row>
    <row r="83" spans="1:1" x14ac:dyDescent="0.2">
      <c r="A83" s="67">
        <v>46070</v>
      </c>
    </row>
    <row r="84" spans="1:1" x14ac:dyDescent="0.2">
      <c r="A84" s="67">
        <v>46105</v>
      </c>
    </row>
    <row r="85" spans="1:1" x14ac:dyDescent="0.2">
      <c r="A85" s="67">
        <v>46114</v>
      </c>
    </row>
    <row r="86" spans="1:1" x14ac:dyDescent="0.2">
      <c r="A86" s="67">
        <v>46115</v>
      </c>
    </row>
    <row r="87" spans="1:1" x14ac:dyDescent="0.2">
      <c r="A87" s="67">
        <v>46143</v>
      </c>
    </row>
    <row r="88" spans="1:1" x14ac:dyDescent="0.2">
      <c r="A88" s="67">
        <v>46167</v>
      </c>
    </row>
    <row r="89" spans="1:1" x14ac:dyDescent="0.2">
      <c r="A89" s="67">
        <v>46188</v>
      </c>
    </row>
    <row r="90" spans="1:1" x14ac:dyDescent="0.2">
      <c r="A90" s="67">
        <v>46193</v>
      </c>
    </row>
    <row r="91" spans="1:1" x14ac:dyDescent="0.2">
      <c r="A91" s="67">
        <v>46212</v>
      </c>
    </row>
    <row r="92" spans="1:1" x14ac:dyDescent="0.2">
      <c r="A92" s="67">
        <v>46251</v>
      </c>
    </row>
    <row r="93" spans="1:1" x14ac:dyDescent="0.2">
      <c r="A93" s="67">
        <v>46303</v>
      </c>
    </row>
    <row r="94" spans="1:1" x14ac:dyDescent="0.2">
      <c r="A94" s="67">
        <v>46349</v>
      </c>
    </row>
    <row r="95" spans="1:1" x14ac:dyDescent="0.2">
      <c r="A95" s="67">
        <v>46364</v>
      </c>
    </row>
    <row r="96" spans="1:1" x14ac:dyDescent="0.2">
      <c r="A96" s="67">
        <v>46381</v>
      </c>
    </row>
    <row r="97" spans="1:1" x14ac:dyDescent="0.2">
      <c r="A97" s="67">
        <v>46388</v>
      </c>
    </row>
    <row r="98" spans="1:1" x14ac:dyDescent="0.2">
      <c r="A98" s="67">
        <v>46426</v>
      </c>
    </row>
    <row r="99" spans="1:1" x14ac:dyDescent="0.2">
      <c r="A99" s="67">
        <v>46427</v>
      </c>
    </row>
    <row r="100" spans="1:1" x14ac:dyDescent="0.2">
      <c r="A100" s="67">
        <v>46470</v>
      </c>
    </row>
    <row r="101" spans="1:1" x14ac:dyDescent="0.2">
      <c r="A101" s="67">
        <v>46472</v>
      </c>
    </row>
    <row r="102" spans="1:1" x14ac:dyDescent="0.2">
      <c r="A102" s="67">
        <v>46479</v>
      </c>
    </row>
    <row r="103" spans="1:1" x14ac:dyDescent="0.2">
      <c r="A103" s="67">
        <v>46508</v>
      </c>
    </row>
    <row r="104" spans="1:1" x14ac:dyDescent="0.2">
      <c r="A104" s="67">
        <v>46532</v>
      </c>
    </row>
    <row r="105" spans="1:1" x14ac:dyDescent="0.2">
      <c r="A105" s="67">
        <v>46558</v>
      </c>
    </row>
    <row r="106" spans="1:1" x14ac:dyDescent="0.2">
      <c r="A106" s="67">
        <v>46559</v>
      </c>
    </row>
    <row r="107" spans="1:1" x14ac:dyDescent="0.2">
      <c r="A107" s="67">
        <v>46577</v>
      </c>
    </row>
    <row r="108" spans="1:1" x14ac:dyDescent="0.2">
      <c r="A108" s="67">
        <v>46615</v>
      </c>
    </row>
    <row r="109" spans="1:1" x14ac:dyDescent="0.2">
      <c r="A109" s="67">
        <v>46671</v>
      </c>
    </row>
    <row r="110" spans="1:1" x14ac:dyDescent="0.2">
      <c r="A110" s="67">
        <v>46711</v>
      </c>
    </row>
    <row r="111" spans="1:1" x14ac:dyDescent="0.2">
      <c r="A111" s="67">
        <v>46729</v>
      </c>
    </row>
    <row r="112" spans="1:1" x14ac:dyDescent="0.2">
      <c r="A112"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1</vt:lpstr>
      <vt:lpstr>Clase 2</vt:lpstr>
      <vt:lpstr>Clase 2 (Canje)</vt:lpstr>
      <vt:lpstr>Clase 3</vt:lpstr>
      <vt:lpstr>Clase 3 (Canje)</vt:lpstr>
      <vt:lpstr>Intereses Serie I Clase 1</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2025-09-19T14:42:37Z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